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3.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4.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sites\Wicourts-Public-Website-Content-Redesign\html\courts\programs\problemsolving\docs\"/>
    </mc:Choice>
  </mc:AlternateContent>
  <workbookProtection workbookAlgorithmName="SHA-512" workbookHashValue="S1LzwrbwCEOpJyjtydBiHFaQd/vBUkD9+2bBXBuaGMa/2hiqwkRRaLH1s3+nvnVvBjLeylgsBzgHN3qP+93UAg==" workbookSaltValue="AE1U67mNbSHiIpYAqHgjVg==" workbookSpinCount="100000" lockStructure="1"/>
  <bookViews>
    <workbookView xWindow="-120" yWindow="-120" windowWidth="29040" windowHeight="15840"/>
  </bookViews>
  <sheets>
    <sheet name="Data Entry" sheetId="1" r:id="rId1"/>
    <sheet name="Age Groups" sheetId="3" r:id="rId2"/>
    <sheet name="Gender" sheetId="2" r:id="rId3"/>
    <sheet name="Race" sheetId="4" r:id="rId4"/>
    <sheet name="Ethnicity" sheetId="5" r:id="rId5"/>
    <sheet name="Race and Ethnicity" sheetId="18" r:id="rId6"/>
    <sheet name="Admin and Grad Rates" sheetId="16" r:id="rId7"/>
  </sheets>
  <definedNames>
    <definedName name="_xlnm._FilterDatabase" localSheetId="0" hidden="1">'Data Entry'!$J$2:$N$352</definedName>
    <definedName name="_xlnm.Print_Area" localSheetId="6">'Admin and Grad Rates'!$B$2:$Q$51</definedName>
    <definedName name="_xlnm.Print_Area" localSheetId="1">'Age Groups'!$C$2:$M$32</definedName>
    <definedName name="_xlnm.Print_Area" localSheetId="0">'Data Entry'!$A$1:$X$6</definedName>
    <definedName name="_xlnm.Print_Area" localSheetId="4">Ethnicity!$B$2:$M$28</definedName>
    <definedName name="_xlnm.Print_Area" localSheetId="2">Gender!$B$2:$V$40</definedName>
    <definedName name="_xlnm.Print_Area" localSheetId="3">Race!$B$2:$M$28</definedName>
    <definedName name="_xlnm.Print_Area" localSheetId="5">'Race and Ethnicity'!$B$2:$H$38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U102" i="1" l="1"/>
  <c r="U103" i="1"/>
  <c r="U104" i="1"/>
  <c r="U105" i="1"/>
  <c r="U106" i="1"/>
  <c r="U107" i="1"/>
  <c r="U108" i="1"/>
  <c r="U109" i="1"/>
  <c r="U110" i="1"/>
  <c r="U111" i="1"/>
  <c r="U112" i="1"/>
  <c r="U113" i="1"/>
  <c r="U114" i="1"/>
  <c r="U115" i="1"/>
  <c r="U116" i="1"/>
  <c r="U117" i="1"/>
  <c r="U118" i="1"/>
  <c r="U119" i="1"/>
  <c r="U120" i="1"/>
  <c r="U121" i="1"/>
  <c r="U122" i="1"/>
  <c r="U123" i="1"/>
  <c r="U124" i="1"/>
  <c r="U125" i="1"/>
  <c r="U126" i="1"/>
  <c r="U127" i="1"/>
  <c r="U128" i="1"/>
  <c r="U129" i="1"/>
  <c r="U130" i="1"/>
  <c r="U131" i="1"/>
  <c r="U132" i="1"/>
  <c r="U133" i="1"/>
  <c r="U134" i="1"/>
  <c r="U135" i="1"/>
  <c r="U136" i="1"/>
  <c r="U137" i="1"/>
  <c r="U138" i="1"/>
  <c r="U139" i="1"/>
  <c r="U140" i="1"/>
  <c r="U141" i="1"/>
  <c r="U142" i="1"/>
  <c r="U143" i="1"/>
  <c r="U144" i="1"/>
  <c r="U145" i="1"/>
  <c r="U146" i="1"/>
  <c r="U147" i="1"/>
  <c r="U148" i="1"/>
  <c r="U149" i="1"/>
  <c r="U150" i="1"/>
  <c r="U151" i="1"/>
  <c r="U152" i="1"/>
  <c r="U153" i="1"/>
  <c r="U154" i="1"/>
  <c r="U155" i="1"/>
  <c r="U156" i="1"/>
  <c r="U157" i="1"/>
  <c r="U158" i="1"/>
  <c r="U159" i="1"/>
  <c r="U160" i="1"/>
  <c r="U161" i="1"/>
  <c r="U162" i="1"/>
  <c r="U163" i="1"/>
  <c r="U164" i="1"/>
  <c r="U165" i="1"/>
  <c r="U166" i="1"/>
  <c r="U167" i="1"/>
  <c r="U168" i="1"/>
  <c r="U169" i="1"/>
  <c r="U170" i="1"/>
  <c r="U171" i="1"/>
  <c r="U172" i="1"/>
  <c r="U173" i="1"/>
  <c r="U174" i="1"/>
  <c r="U175" i="1"/>
  <c r="U176" i="1"/>
  <c r="U177" i="1"/>
  <c r="U178" i="1"/>
  <c r="U179" i="1"/>
  <c r="U180" i="1"/>
  <c r="U181" i="1"/>
  <c r="U182" i="1"/>
  <c r="U183" i="1"/>
  <c r="U184" i="1"/>
  <c r="U185" i="1"/>
  <c r="U186" i="1"/>
  <c r="U187" i="1"/>
  <c r="U188" i="1"/>
  <c r="U189" i="1"/>
  <c r="U190" i="1"/>
  <c r="U191" i="1"/>
  <c r="U192" i="1"/>
  <c r="U193" i="1"/>
  <c r="U194" i="1"/>
  <c r="U195" i="1"/>
  <c r="U196" i="1"/>
  <c r="U197" i="1"/>
  <c r="U198" i="1"/>
  <c r="U199" i="1"/>
  <c r="U200" i="1"/>
  <c r="U201" i="1"/>
  <c r="U202" i="1"/>
  <c r="U203" i="1"/>
  <c r="U204" i="1"/>
  <c r="U205" i="1"/>
  <c r="U206" i="1"/>
  <c r="U207" i="1"/>
  <c r="U208" i="1"/>
  <c r="U209" i="1"/>
  <c r="U210" i="1"/>
  <c r="U211" i="1"/>
  <c r="U212" i="1"/>
  <c r="U213" i="1"/>
  <c r="U214" i="1"/>
  <c r="U215" i="1"/>
  <c r="U216" i="1"/>
  <c r="U217" i="1"/>
  <c r="U218" i="1"/>
  <c r="U219" i="1"/>
  <c r="U220" i="1"/>
  <c r="U221" i="1"/>
  <c r="U222" i="1"/>
  <c r="U223" i="1"/>
  <c r="U224" i="1"/>
  <c r="U225" i="1"/>
  <c r="U226" i="1"/>
  <c r="U227" i="1"/>
  <c r="U228" i="1"/>
  <c r="U229" i="1"/>
  <c r="U230" i="1"/>
  <c r="U231" i="1"/>
  <c r="U232" i="1"/>
  <c r="U233" i="1"/>
  <c r="U234" i="1"/>
  <c r="U235" i="1"/>
  <c r="U236" i="1"/>
  <c r="U237" i="1"/>
  <c r="U238" i="1"/>
  <c r="U239" i="1"/>
  <c r="U240" i="1"/>
  <c r="U241" i="1"/>
  <c r="U242" i="1"/>
  <c r="U243" i="1"/>
  <c r="U244" i="1"/>
  <c r="U245" i="1"/>
  <c r="U246" i="1"/>
  <c r="U247" i="1"/>
  <c r="U248" i="1"/>
  <c r="U249" i="1"/>
  <c r="U250" i="1"/>
  <c r="U251" i="1"/>
  <c r="U252" i="1"/>
  <c r="U253" i="1"/>
  <c r="U254" i="1"/>
  <c r="U255" i="1"/>
  <c r="U256" i="1"/>
  <c r="U257" i="1"/>
  <c r="U258" i="1"/>
  <c r="U259" i="1"/>
  <c r="U260" i="1"/>
  <c r="U261" i="1"/>
  <c r="U262" i="1"/>
  <c r="U263" i="1"/>
  <c r="U264" i="1"/>
  <c r="U265" i="1"/>
  <c r="U266" i="1"/>
  <c r="U267" i="1"/>
  <c r="U268" i="1"/>
  <c r="U269" i="1"/>
  <c r="U270" i="1"/>
  <c r="U271" i="1"/>
  <c r="U272" i="1"/>
  <c r="U273" i="1"/>
  <c r="U274" i="1"/>
  <c r="U275" i="1"/>
  <c r="U276" i="1"/>
  <c r="U277" i="1"/>
  <c r="U278" i="1"/>
  <c r="U279" i="1"/>
  <c r="U280" i="1"/>
  <c r="U281" i="1"/>
  <c r="U282" i="1"/>
  <c r="U283" i="1"/>
  <c r="U284" i="1"/>
  <c r="U285" i="1"/>
  <c r="U286" i="1"/>
  <c r="U287" i="1"/>
  <c r="U288" i="1"/>
  <c r="U289" i="1"/>
  <c r="U290" i="1"/>
  <c r="U291" i="1"/>
  <c r="U292" i="1"/>
  <c r="U293" i="1"/>
  <c r="U294" i="1"/>
  <c r="U295" i="1"/>
  <c r="U296" i="1"/>
  <c r="U297" i="1"/>
  <c r="U298" i="1"/>
  <c r="U299" i="1"/>
  <c r="U300" i="1"/>
  <c r="U301" i="1"/>
  <c r="U302" i="1"/>
  <c r="U303" i="1"/>
  <c r="U304" i="1"/>
  <c r="U305" i="1"/>
  <c r="U306" i="1"/>
  <c r="U307" i="1"/>
  <c r="U308" i="1"/>
  <c r="U309" i="1"/>
  <c r="U310" i="1"/>
  <c r="U311" i="1"/>
  <c r="U312" i="1"/>
  <c r="U313" i="1"/>
  <c r="U314" i="1"/>
  <c r="U315" i="1"/>
  <c r="U316" i="1"/>
  <c r="U317" i="1"/>
  <c r="U318" i="1"/>
  <c r="U319" i="1"/>
  <c r="U320" i="1"/>
  <c r="U321" i="1"/>
  <c r="U322" i="1"/>
  <c r="U323" i="1"/>
  <c r="U324" i="1"/>
  <c r="U325" i="1"/>
  <c r="U326" i="1"/>
  <c r="U327" i="1"/>
  <c r="U328" i="1"/>
  <c r="U329" i="1"/>
  <c r="U330" i="1"/>
  <c r="U331" i="1"/>
  <c r="U332" i="1"/>
  <c r="U333" i="1"/>
  <c r="U334" i="1"/>
  <c r="U335" i="1"/>
  <c r="U336" i="1"/>
  <c r="U337" i="1"/>
  <c r="U338" i="1"/>
  <c r="U339" i="1"/>
  <c r="U340" i="1"/>
  <c r="U341" i="1"/>
  <c r="U342" i="1"/>
  <c r="U343" i="1"/>
  <c r="U344" i="1"/>
  <c r="U345" i="1"/>
  <c r="U346" i="1"/>
  <c r="U347" i="1"/>
  <c r="U348" i="1"/>
  <c r="U349" i="1"/>
  <c r="U350" i="1"/>
  <c r="U351" i="1"/>
  <c r="U352" i="1"/>
  <c r="H102" i="1"/>
  <c r="H103" i="1"/>
  <c r="H104" i="1"/>
  <c r="H105" i="1"/>
  <c r="H106" i="1"/>
  <c r="H107" i="1"/>
  <c r="H108" i="1"/>
  <c r="H109" i="1"/>
  <c r="H110" i="1"/>
  <c r="H111" i="1"/>
  <c r="H112" i="1"/>
  <c r="H113" i="1"/>
  <c r="H114" i="1"/>
  <c r="H115" i="1"/>
  <c r="H116" i="1"/>
  <c r="H117" i="1"/>
  <c r="H118" i="1"/>
  <c r="H119" i="1"/>
  <c r="H120" i="1"/>
  <c r="H121" i="1"/>
  <c r="H122" i="1"/>
  <c r="H123" i="1"/>
  <c r="H124" i="1"/>
  <c r="H125" i="1"/>
  <c r="H126" i="1"/>
  <c r="H127" i="1"/>
  <c r="H128" i="1"/>
  <c r="H129" i="1"/>
  <c r="H130" i="1"/>
  <c r="H131" i="1"/>
  <c r="H132" i="1"/>
  <c r="H133" i="1"/>
  <c r="H134" i="1"/>
  <c r="H135" i="1"/>
  <c r="H136" i="1"/>
  <c r="H137" i="1"/>
  <c r="H138" i="1"/>
  <c r="H139" i="1"/>
  <c r="H140" i="1"/>
  <c r="H141" i="1"/>
  <c r="H142" i="1"/>
  <c r="H143" i="1"/>
  <c r="H144" i="1"/>
  <c r="H145" i="1"/>
  <c r="H146" i="1"/>
  <c r="H147" i="1"/>
  <c r="H148" i="1"/>
  <c r="H149" i="1"/>
  <c r="H150" i="1"/>
  <c r="H151" i="1"/>
  <c r="H152" i="1"/>
  <c r="H153" i="1"/>
  <c r="H154" i="1"/>
  <c r="H155" i="1"/>
  <c r="H156" i="1"/>
  <c r="H157" i="1"/>
  <c r="H158" i="1"/>
  <c r="H159" i="1"/>
  <c r="H160" i="1"/>
  <c r="H161" i="1"/>
  <c r="H162" i="1"/>
  <c r="H163" i="1"/>
  <c r="H164" i="1"/>
  <c r="H165" i="1"/>
  <c r="H166" i="1"/>
  <c r="H167" i="1"/>
  <c r="H168" i="1"/>
  <c r="H169" i="1"/>
  <c r="H170" i="1"/>
  <c r="H171" i="1"/>
  <c r="H172" i="1"/>
  <c r="H173" i="1"/>
  <c r="H174" i="1"/>
  <c r="H175" i="1"/>
  <c r="H176" i="1"/>
  <c r="H177" i="1"/>
  <c r="H178" i="1"/>
  <c r="H179" i="1"/>
  <c r="H180" i="1"/>
  <c r="H181" i="1"/>
  <c r="H182" i="1"/>
  <c r="H183" i="1"/>
  <c r="H184" i="1"/>
  <c r="H185" i="1"/>
  <c r="H186" i="1"/>
  <c r="H187" i="1"/>
  <c r="H188" i="1"/>
  <c r="H189" i="1"/>
  <c r="H190" i="1"/>
  <c r="H191" i="1"/>
  <c r="H192" i="1"/>
  <c r="H193" i="1"/>
  <c r="H194" i="1"/>
  <c r="H195" i="1"/>
  <c r="H196" i="1"/>
  <c r="H197" i="1"/>
  <c r="H198" i="1"/>
  <c r="H199" i="1"/>
  <c r="H200" i="1"/>
  <c r="H201" i="1"/>
  <c r="H202" i="1"/>
  <c r="H203" i="1"/>
  <c r="H204" i="1"/>
  <c r="H205" i="1"/>
  <c r="H206" i="1"/>
  <c r="H207" i="1"/>
  <c r="H208" i="1"/>
  <c r="H209" i="1"/>
  <c r="H210" i="1"/>
  <c r="H211" i="1"/>
  <c r="H212" i="1"/>
  <c r="H213" i="1"/>
  <c r="H214" i="1"/>
  <c r="H215" i="1"/>
  <c r="H216" i="1"/>
  <c r="H217" i="1"/>
  <c r="H218" i="1"/>
  <c r="H219" i="1"/>
  <c r="H220" i="1"/>
  <c r="H221" i="1"/>
  <c r="H222" i="1"/>
  <c r="H223" i="1"/>
  <c r="H224" i="1"/>
  <c r="H225" i="1"/>
  <c r="H226" i="1"/>
  <c r="H227" i="1"/>
  <c r="H228" i="1"/>
  <c r="H229" i="1"/>
  <c r="H230" i="1"/>
  <c r="H231" i="1"/>
  <c r="H232" i="1"/>
  <c r="H233" i="1"/>
  <c r="H234" i="1"/>
  <c r="H235" i="1"/>
  <c r="H236" i="1"/>
  <c r="H237" i="1"/>
  <c r="H238" i="1"/>
  <c r="H239" i="1"/>
  <c r="H240" i="1"/>
  <c r="H241" i="1"/>
  <c r="H242" i="1"/>
  <c r="H243" i="1"/>
  <c r="H244" i="1"/>
  <c r="H245" i="1"/>
  <c r="H246" i="1"/>
  <c r="H247" i="1"/>
  <c r="H248" i="1"/>
  <c r="H249" i="1"/>
  <c r="H250" i="1"/>
  <c r="H251" i="1"/>
  <c r="H252" i="1"/>
  <c r="H253" i="1"/>
  <c r="H254" i="1"/>
  <c r="H255" i="1"/>
  <c r="H256" i="1"/>
  <c r="H257" i="1"/>
  <c r="H258" i="1"/>
  <c r="H259" i="1"/>
  <c r="H260" i="1"/>
  <c r="H261" i="1"/>
  <c r="H262" i="1"/>
  <c r="H263" i="1"/>
  <c r="H264" i="1"/>
  <c r="H265" i="1"/>
  <c r="H266" i="1"/>
  <c r="H267" i="1"/>
  <c r="H268" i="1"/>
  <c r="H269" i="1"/>
  <c r="H270" i="1"/>
  <c r="H271" i="1"/>
  <c r="H272" i="1"/>
  <c r="H273" i="1"/>
  <c r="H274" i="1"/>
  <c r="H275" i="1"/>
  <c r="H276" i="1"/>
  <c r="H277" i="1"/>
  <c r="H278" i="1"/>
  <c r="H279" i="1"/>
  <c r="H280" i="1"/>
  <c r="H281" i="1"/>
  <c r="H282" i="1"/>
  <c r="H283" i="1"/>
  <c r="H284" i="1"/>
  <c r="H285" i="1"/>
  <c r="H286" i="1"/>
  <c r="H287" i="1"/>
  <c r="H288" i="1"/>
  <c r="H289" i="1"/>
  <c r="H290" i="1"/>
  <c r="H291" i="1"/>
  <c r="H292" i="1"/>
  <c r="H293" i="1"/>
  <c r="H294" i="1"/>
  <c r="H295" i="1"/>
  <c r="H296" i="1"/>
  <c r="H297" i="1"/>
  <c r="H298" i="1"/>
  <c r="H299" i="1"/>
  <c r="H300" i="1"/>
  <c r="H301" i="1"/>
  <c r="H302" i="1"/>
  <c r="H303" i="1"/>
  <c r="H304" i="1"/>
  <c r="H305" i="1"/>
  <c r="H306" i="1"/>
  <c r="H307" i="1"/>
  <c r="H308" i="1"/>
  <c r="H309" i="1"/>
  <c r="H310" i="1"/>
  <c r="H311" i="1"/>
  <c r="H312" i="1"/>
  <c r="H313" i="1"/>
  <c r="H314" i="1"/>
  <c r="H315" i="1"/>
  <c r="H316" i="1"/>
  <c r="H317" i="1"/>
  <c r="H318" i="1"/>
  <c r="H319" i="1"/>
  <c r="H320" i="1"/>
  <c r="H321" i="1"/>
  <c r="H322" i="1"/>
  <c r="H323" i="1"/>
  <c r="H324" i="1"/>
  <c r="H325" i="1"/>
  <c r="H326" i="1"/>
  <c r="H327" i="1"/>
  <c r="H328" i="1"/>
  <c r="H329" i="1"/>
  <c r="H330" i="1"/>
  <c r="H331" i="1"/>
  <c r="H332" i="1"/>
  <c r="H333" i="1"/>
  <c r="H334" i="1"/>
  <c r="H335" i="1"/>
  <c r="H336" i="1"/>
  <c r="H337" i="1"/>
  <c r="H338" i="1"/>
  <c r="H339" i="1"/>
  <c r="H340" i="1"/>
  <c r="H341" i="1"/>
  <c r="H342" i="1"/>
  <c r="H343" i="1"/>
  <c r="H344" i="1"/>
  <c r="H345" i="1"/>
  <c r="H346" i="1"/>
  <c r="H347" i="1"/>
  <c r="H348" i="1"/>
  <c r="H349" i="1"/>
  <c r="H350" i="1"/>
  <c r="H351" i="1"/>
  <c r="H352" i="1"/>
  <c r="E102" i="1"/>
  <c r="E103" i="1"/>
  <c r="AC103" i="1" s="1"/>
  <c r="E104" i="1"/>
  <c r="E105" i="1"/>
  <c r="E106" i="1"/>
  <c r="E107" i="1"/>
  <c r="AF107" i="1" s="1"/>
  <c r="E108" i="1"/>
  <c r="E109" i="1"/>
  <c r="E110" i="1"/>
  <c r="E111" i="1"/>
  <c r="AE111" i="1" s="1"/>
  <c r="E112" i="1"/>
  <c r="E113" i="1"/>
  <c r="E114" i="1"/>
  <c r="E115" i="1"/>
  <c r="AE115" i="1" s="1"/>
  <c r="E116" i="1"/>
  <c r="E117" i="1"/>
  <c r="E118" i="1"/>
  <c r="E119" i="1"/>
  <c r="AE119" i="1" s="1"/>
  <c r="E120" i="1"/>
  <c r="E121" i="1"/>
  <c r="E122" i="1"/>
  <c r="E123" i="1"/>
  <c r="AD123" i="1" s="1"/>
  <c r="E124" i="1"/>
  <c r="E125" i="1"/>
  <c r="E126" i="1"/>
  <c r="E127" i="1"/>
  <c r="AC127" i="1" s="1"/>
  <c r="E128" i="1"/>
  <c r="E129" i="1"/>
  <c r="E130" i="1"/>
  <c r="E131" i="1"/>
  <c r="AC131" i="1" s="1"/>
  <c r="E132" i="1"/>
  <c r="E133" i="1"/>
  <c r="E134" i="1"/>
  <c r="E135" i="1"/>
  <c r="AC135" i="1" s="1"/>
  <c r="E136" i="1"/>
  <c r="E137" i="1"/>
  <c r="E138" i="1"/>
  <c r="E139" i="1"/>
  <c r="AF139" i="1" s="1"/>
  <c r="E140" i="1"/>
  <c r="E141" i="1"/>
  <c r="E142" i="1"/>
  <c r="E143" i="1"/>
  <c r="AE143" i="1" s="1"/>
  <c r="E144" i="1"/>
  <c r="E145" i="1"/>
  <c r="E146" i="1"/>
  <c r="E147" i="1"/>
  <c r="AE147" i="1" s="1"/>
  <c r="E148" i="1"/>
  <c r="E149" i="1"/>
  <c r="E150" i="1"/>
  <c r="E151" i="1"/>
  <c r="AE151" i="1" s="1"/>
  <c r="E152" i="1"/>
  <c r="E153" i="1"/>
  <c r="E154" i="1"/>
  <c r="E155" i="1"/>
  <c r="AD155" i="1" s="1"/>
  <c r="E156" i="1"/>
  <c r="E157" i="1"/>
  <c r="E158" i="1"/>
  <c r="E159" i="1"/>
  <c r="AD159" i="1" s="1"/>
  <c r="E160" i="1"/>
  <c r="E161" i="1"/>
  <c r="E162" i="1"/>
  <c r="E163" i="1"/>
  <c r="AD163" i="1" s="1"/>
  <c r="E164" i="1"/>
  <c r="E165" i="1"/>
  <c r="E166" i="1"/>
  <c r="E167" i="1"/>
  <c r="AC167" i="1" s="1"/>
  <c r="E168" i="1"/>
  <c r="E169" i="1"/>
  <c r="E170" i="1"/>
  <c r="E171" i="1"/>
  <c r="AF171" i="1" s="1"/>
  <c r="E172" i="1"/>
  <c r="E173" i="1"/>
  <c r="E174" i="1"/>
  <c r="E175" i="1"/>
  <c r="AF175" i="1" s="1"/>
  <c r="E176" i="1"/>
  <c r="E177" i="1"/>
  <c r="E178" i="1"/>
  <c r="E179" i="1"/>
  <c r="AF179" i="1" s="1"/>
  <c r="E180" i="1"/>
  <c r="E181" i="1"/>
  <c r="E182" i="1"/>
  <c r="E183" i="1"/>
  <c r="AE183" i="1" s="1"/>
  <c r="E184" i="1"/>
  <c r="E185" i="1"/>
  <c r="E186" i="1"/>
  <c r="E187" i="1"/>
  <c r="AD187" i="1" s="1"/>
  <c r="E188" i="1"/>
  <c r="E189" i="1"/>
  <c r="E190" i="1"/>
  <c r="E191" i="1"/>
  <c r="AD191" i="1" s="1"/>
  <c r="E192" i="1"/>
  <c r="E193" i="1"/>
  <c r="E194" i="1"/>
  <c r="E195" i="1"/>
  <c r="AD195" i="1" s="1"/>
  <c r="E196" i="1"/>
  <c r="E197" i="1"/>
  <c r="E198" i="1"/>
  <c r="E199" i="1"/>
  <c r="AC199" i="1" s="1"/>
  <c r="E200" i="1"/>
  <c r="E201" i="1"/>
  <c r="E202" i="1"/>
  <c r="E203" i="1"/>
  <c r="AF203" i="1" s="1"/>
  <c r="E204" i="1"/>
  <c r="E205" i="1"/>
  <c r="E206" i="1"/>
  <c r="E207" i="1"/>
  <c r="AF207" i="1" s="1"/>
  <c r="E208" i="1"/>
  <c r="E209" i="1"/>
  <c r="E210" i="1"/>
  <c r="E211" i="1"/>
  <c r="AF211" i="1" s="1"/>
  <c r="E212" i="1"/>
  <c r="E213" i="1"/>
  <c r="E214" i="1"/>
  <c r="E215" i="1"/>
  <c r="AD215" i="1" s="1"/>
  <c r="E216" i="1"/>
  <c r="E217" i="1"/>
  <c r="E218" i="1"/>
  <c r="E219" i="1"/>
  <c r="E220" i="1"/>
  <c r="E221" i="1"/>
  <c r="E222" i="1"/>
  <c r="E223" i="1"/>
  <c r="AC223" i="1" s="1"/>
  <c r="E224" i="1"/>
  <c r="E225" i="1"/>
  <c r="E226" i="1"/>
  <c r="E227" i="1"/>
  <c r="AC227" i="1" s="1"/>
  <c r="E228" i="1"/>
  <c r="E229" i="1"/>
  <c r="E230" i="1"/>
  <c r="E231" i="1"/>
  <c r="E232" i="1"/>
  <c r="E233" i="1"/>
  <c r="E234" i="1"/>
  <c r="E235" i="1"/>
  <c r="AE235" i="1" s="1"/>
  <c r="E236" i="1"/>
  <c r="E237" i="1"/>
  <c r="E238" i="1"/>
  <c r="E239" i="1"/>
  <c r="E240" i="1"/>
  <c r="E241" i="1"/>
  <c r="E242" i="1"/>
  <c r="E243" i="1"/>
  <c r="AC243" i="1" s="1"/>
  <c r="E244" i="1"/>
  <c r="E245" i="1"/>
  <c r="E246" i="1"/>
  <c r="E247" i="1"/>
  <c r="E248" i="1"/>
  <c r="E249" i="1"/>
  <c r="E250" i="1"/>
  <c r="E251" i="1"/>
  <c r="AE251" i="1" s="1"/>
  <c r="E252" i="1"/>
  <c r="E253" i="1"/>
  <c r="E254" i="1"/>
  <c r="E255" i="1"/>
  <c r="E256" i="1"/>
  <c r="E257" i="1"/>
  <c r="E258" i="1"/>
  <c r="E259" i="1"/>
  <c r="E260" i="1"/>
  <c r="E261" i="1"/>
  <c r="E262" i="1"/>
  <c r="E263" i="1"/>
  <c r="AC263" i="1" s="1"/>
  <c r="E264" i="1"/>
  <c r="E265" i="1"/>
  <c r="E266" i="1"/>
  <c r="E267" i="1"/>
  <c r="AF267" i="1" s="1"/>
  <c r="E268" i="1"/>
  <c r="E269" i="1"/>
  <c r="E270" i="1"/>
  <c r="E271" i="1"/>
  <c r="E272" i="1"/>
  <c r="E273" i="1"/>
  <c r="E274" i="1"/>
  <c r="E275" i="1"/>
  <c r="AC275" i="1" s="1"/>
  <c r="E276" i="1"/>
  <c r="E277" i="1"/>
  <c r="E278" i="1"/>
  <c r="E279" i="1"/>
  <c r="E280" i="1"/>
  <c r="E281" i="1"/>
  <c r="E282" i="1"/>
  <c r="E283" i="1"/>
  <c r="E284" i="1"/>
  <c r="E285" i="1"/>
  <c r="E286" i="1"/>
  <c r="E287" i="1"/>
  <c r="E288" i="1"/>
  <c r="E289" i="1"/>
  <c r="E290" i="1"/>
  <c r="E291" i="1"/>
  <c r="E292" i="1"/>
  <c r="E293" i="1"/>
  <c r="E294" i="1"/>
  <c r="E295" i="1"/>
  <c r="E296" i="1"/>
  <c r="E297" i="1"/>
  <c r="E298" i="1"/>
  <c r="E299" i="1"/>
  <c r="E300" i="1"/>
  <c r="E301" i="1"/>
  <c r="E302" i="1"/>
  <c r="E303" i="1"/>
  <c r="E304" i="1"/>
  <c r="E305" i="1"/>
  <c r="AF305" i="1" s="1"/>
  <c r="E306" i="1"/>
  <c r="E307" i="1"/>
  <c r="E308" i="1"/>
  <c r="E309" i="1"/>
  <c r="AF309" i="1" s="1"/>
  <c r="E310" i="1"/>
  <c r="E311" i="1"/>
  <c r="AD311" i="1" s="1"/>
  <c r="E312" i="1"/>
  <c r="E313" i="1"/>
  <c r="AF313" i="1" s="1"/>
  <c r="E314" i="1"/>
  <c r="E315" i="1"/>
  <c r="AE315" i="1" s="1"/>
  <c r="E316" i="1"/>
  <c r="E317" i="1"/>
  <c r="AF317" i="1" s="1"/>
  <c r="E318" i="1"/>
  <c r="E319" i="1"/>
  <c r="E320" i="1"/>
  <c r="E321" i="1"/>
  <c r="AF321" i="1" s="1"/>
  <c r="E322" i="1"/>
  <c r="E323" i="1"/>
  <c r="AD323" i="1" s="1"/>
  <c r="E324" i="1"/>
  <c r="E325" i="1"/>
  <c r="AF325" i="1" s="1"/>
  <c r="E326" i="1"/>
  <c r="E327" i="1"/>
  <c r="E328" i="1"/>
  <c r="E329" i="1"/>
  <c r="AF329" i="1" s="1"/>
  <c r="E330" i="1"/>
  <c r="E331" i="1"/>
  <c r="AE331" i="1" s="1"/>
  <c r="E332" i="1"/>
  <c r="E333" i="1"/>
  <c r="AF333" i="1" s="1"/>
  <c r="E334" i="1"/>
  <c r="E335" i="1"/>
  <c r="E336" i="1"/>
  <c r="E337" i="1"/>
  <c r="AF337" i="1" s="1"/>
  <c r="E338" i="1"/>
  <c r="E339" i="1"/>
  <c r="E340" i="1"/>
  <c r="E341" i="1"/>
  <c r="AF341" i="1" s="1"/>
  <c r="E342" i="1"/>
  <c r="E343" i="1"/>
  <c r="E344" i="1"/>
  <c r="E345" i="1"/>
  <c r="AF345" i="1" s="1"/>
  <c r="E346" i="1"/>
  <c r="E347" i="1"/>
  <c r="AE347" i="1" s="1"/>
  <c r="E348" i="1"/>
  <c r="E349" i="1"/>
  <c r="AF349" i="1" s="1"/>
  <c r="E350" i="1"/>
  <c r="E351" i="1"/>
  <c r="E352" i="1"/>
  <c r="L102" i="1"/>
  <c r="L103" i="1"/>
  <c r="L104" i="1"/>
  <c r="L105" i="1"/>
  <c r="L106" i="1"/>
  <c r="L107" i="1"/>
  <c r="L108" i="1"/>
  <c r="L109" i="1"/>
  <c r="L110" i="1"/>
  <c r="L111" i="1"/>
  <c r="L112" i="1"/>
  <c r="L113" i="1"/>
  <c r="L114" i="1"/>
  <c r="L115" i="1"/>
  <c r="L116" i="1"/>
  <c r="L117" i="1"/>
  <c r="L118" i="1"/>
  <c r="L119" i="1"/>
  <c r="L120" i="1"/>
  <c r="L121" i="1"/>
  <c r="L122" i="1"/>
  <c r="L123" i="1"/>
  <c r="L124" i="1"/>
  <c r="L125" i="1"/>
  <c r="L126" i="1"/>
  <c r="L127" i="1"/>
  <c r="L128" i="1"/>
  <c r="L129" i="1"/>
  <c r="L130" i="1"/>
  <c r="L131" i="1"/>
  <c r="L132" i="1"/>
  <c r="L133" i="1"/>
  <c r="L134" i="1"/>
  <c r="L135" i="1"/>
  <c r="L136" i="1"/>
  <c r="L137" i="1"/>
  <c r="L138" i="1"/>
  <c r="L139" i="1"/>
  <c r="L140" i="1"/>
  <c r="L141" i="1"/>
  <c r="L142" i="1"/>
  <c r="L143" i="1"/>
  <c r="L144" i="1"/>
  <c r="L145" i="1"/>
  <c r="L146" i="1"/>
  <c r="L147" i="1"/>
  <c r="L148" i="1"/>
  <c r="L149" i="1"/>
  <c r="L150" i="1"/>
  <c r="L151" i="1"/>
  <c r="L152" i="1"/>
  <c r="L153" i="1"/>
  <c r="L154" i="1"/>
  <c r="L155" i="1"/>
  <c r="L156" i="1"/>
  <c r="L157" i="1"/>
  <c r="L158" i="1"/>
  <c r="L159" i="1"/>
  <c r="L160" i="1"/>
  <c r="L161" i="1"/>
  <c r="L162" i="1"/>
  <c r="L163" i="1"/>
  <c r="L164" i="1"/>
  <c r="L165" i="1"/>
  <c r="L166" i="1"/>
  <c r="L167" i="1"/>
  <c r="L168" i="1"/>
  <c r="L169" i="1"/>
  <c r="L170" i="1"/>
  <c r="L171" i="1"/>
  <c r="L172" i="1"/>
  <c r="L173" i="1"/>
  <c r="L174" i="1"/>
  <c r="L175" i="1"/>
  <c r="L176" i="1"/>
  <c r="L177" i="1"/>
  <c r="L178" i="1"/>
  <c r="L179" i="1"/>
  <c r="L180" i="1"/>
  <c r="L181" i="1"/>
  <c r="L182" i="1"/>
  <c r="L183" i="1"/>
  <c r="L184" i="1"/>
  <c r="L185" i="1"/>
  <c r="L186" i="1"/>
  <c r="L187" i="1"/>
  <c r="L188" i="1"/>
  <c r="L189" i="1"/>
  <c r="L190" i="1"/>
  <c r="L191" i="1"/>
  <c r="L192" i="1"/>
  <c r="L193" i="1"/>
  <c r="L194" i="1"/>
  <c r="L195" i="1"/>
  <c r="L196" i="1"/>
  <c r="L197" i="1"/>
  <c r="L198" i="1"/>
  <c r="L199" i="1"/>
  <c r="L200" i="1"/>
  <c r="L201" i="1"/>
  <c r="L202" i="1"/>
  <c r="L203" i="1"/>
  <c r="L204" i="1"/>
  <c r="L205" i="1"/>
  <c r="L206" i="1"/>
  <c r="L207" i="1"/>
  <c r="L208" i="1"/>
  <c r="L209" i="1"/>
  <c r="L210" i="1"/>
  <c r="L211" i="1"/>
  <c r="L212" i="1"/>
  <c r="L213" i="1"/>
  <c r="L214" i="1"/>
  <c r="L215" i="1"/>
  <c r="L216" i="1"/>
  <c r="L217" i="1"/>
  <c r="L218" i="1"/>
  <c r="L219" i="1"/>
  <c r="L220" i="1"/>
  <c r="L221" i="1"/>
  <c r="L222" i="1"/>
  <c r="L223" i="1"/>
  <c r="L224" i="1"/>
  <c r="L225" i="1"/>
  <c r="L226" i="1"/>
  <c r="L227" i="1"/>
  <c r="L228" i="1"/>
  <c r="L229" i="1"/>
  <c r="L230" i="1"/>
  <c r="L231" i="1"/>
  <c r="L232" i="1"/>
  <c r="L233" i="1"/>
  <c r="L234" i="1"/>
  <c r="L235" i="1"/>
  <c r="L236" i="1"/>
  <c r="L237" i="1"/>
  <c r="L238" i="1"/>
  <c r="L239" i="1"/>
  <c r="L240" i="1"/>
  <c r="L241" i="1"/>
  <c r="L242" i="1"/>
  <c r="L243" i="1"/>
  <c r="L244" i="1"/>
  <c r="L245" i="1"/>
  <c r="L246" i="1"/>
  <c r="L247" i="1"/>
  <c r="L248" i="1"/>
  <c r="L249" i="1"/>
  <c r="L250" i="1"/>
  <c r="L251" i="1"/>
  <c r="L252" i="1"/>
  <c r="L253" i="1"/>
  <c r="L254" i="1"/>
  <c r="L255" i="1"/>
  <c r="L256" i="1"/>
  <c r="L257" i="1"/>
  <c r="L258" i="1"/>
  <c r="L259" i="1"/>
  <c r="L260" i="1"/>
  <c r="L261" i="1"/>
  <c r="L262" i="1"/>
  <c r="L263" i="1"/>
  <c r="L264" i="1"/>
  <c r="L265" i="1"/>
  <c r="L266" i="1"/>
  <c r="L267" i="1"/>
  <c r="L268" i="1"/>
  <c r="L269" i="1"/>
  <c r="L270" i="1"/>
  <c r="L271" i="1"/>
  <c r="L272" i="1"/>
  <c r="L273" i="1"/>
  <c r="L274" i="1"/>
  <c r="L275" i="1"/>
  <c r="L276" i="1"/>
  <c r="L277" i="1"/>
  <c r="L278" i="1"/>
  <c r="L279" i="1"/>
  <c r="L280" i="1"/>
  <c r="L281" i="1"/>
  <c r="L282" i="1"/>
  <c r="L283" i="1"/>
  <c r="L284" i="1"/>
  <c r="L285" i="1"/>
  <c r="L286" i="1"/>
  <c r="L287" i="1"/>
  <c r="L288" i="1"/>
  <c r="L289" i="1"/>
  <c r="L290" i="1"/>
  <c r="L291" i="1"/>
  <c r="L292" i="1"/>
  <c r="L293" i="1"/>
  <c r="L294" i="1"/>
  <c r="L295" i="1"/>
  <c r="L296" i="1"/>
  <c r="L297" i="1"/>
  <c r="L298" i="1"/>
  <c r="L299" i="1"/>
  <c r="L300" i="1"/>
  <c r="L301" i="1"/>
  <c r="L302" i="1"/>
  <c r="L303" i="1"/>
  <c r="L304" i="1"/>
  <c r="L305" i="1"/>
  <c r="L306" i="1"/>
  <c r="L307" i="1"/>
  <c r="L308" i="1"/>
  <c r="L309" i="1"/>
  <c r="L310" i="1"/>
  <c r="L311" i="1"/>
  <c r="L312" i="1"/>
  <c r="L313" i="1"/>
  <c r="L314" i="1"/>
  <c r="L315" i="1"/>
  <c r="L316" i="1"/>
  <c r="L317" i="1"/>
  <c r="L318" i="1"/>
  <c r="L319" i="1"/>
  <c r="L320" i="1"/>
  <c r="L321" i="1"/>
  <c r="L322" i="1"/>
  <c r="L323" i="1"/>
  <c r="L324" i="1"/>
  <c r="L325" i="1"/>
  <c r="L326" i="1"/>
  <c r="L327" i="1"/>
  <c r="L328" i="1"/>
  <c r="L329" i="1"/>
  <c r="L330" i="1"/>
  <c r="L331" i="1"/>
  <c r="L332" i="1"/>
  <c r="L333" i="1"/>
  <c r="L334" i="1"/>
  <c r="L335" i="1"/>
  <c r="L336" i="1"/>
  <c r="L337" i="1"/>
  <c r="L338" i="1"/>
  <c r="L339" i="1"/>
  <c r="L340" i="1"/>
  <c r="L341" i="1"/>
  <c r="L342" i="1"/>
  <c r="L343" i="1"/>
  <c r="L344" i="1"/>
  <c r="L345" i="1"/>
  <c r="L346" i="1"/>
  <c r="L347" i="1"/>
  <c r="L348" i="1"/>
  <c r="L349" i="1"/>
  <c r="L350" i="1"/>
  <c r="L351" i="1"/>
  <c r="L352" i="1"/>
  <c r="AC102" i="1"/>
  <c r="AD102" i="1"/>
  <c r="AE102" i="1"/>
  <c r="AF102" i="1"/>
  <c r="AF103" i="1"/>
  <c r="AC104" i="1"/>
  <c r="AD104" i="1"/>
  <c r="AE104" i="1"/>
  <c r="AF104" i="1"/>
  <c r="AD105" i="1"/>
  <c r="AC106" i="1"/>
  <c r="AD106" i="1"/>
  <c r="AE106" i="1"/>
  <c r="AF106" i="1"/>
  <c r="AE107" i="1"/>
  <c r="AC108" i="1"/>
  <c r="AD108" i="1"/>
  <c r="AE108" i="1"/>
  <c r="AF108" i="1"/>
  <c r="AD109" i="1"/>
  <c r="AC110" i="1"/>
  <c r="AD110" i="1"/>
  <c r="AE110" i="1"/>
  <c r="AF110" i="1"/>
  <c r="AD111" i="1"/>
  <c r="AC112" i="1"/>
  <c r="AD112" i="1"/>
  <c r="AG112" i="1" s="1"/>
  <c r="AE112" i="1"/>
  <c r="AF112" i="1"/>
  <c r="AC114" i="1"/>
  <c r="AD114" i="1"/>
  <c r="AE114" i="1"/>
  <c r="AF114" i="1"/>
  <c r="AD115" i="1"/>
  <c r="AC116" i="1"/>
  <c r="AD116" i="1"/>
  <c r="AG116" i="1" s="1"/>
  <c r="AE116" i="1"/>
  <c r="AF116" i="1"/>
  <c r="AC118" i="1"/>
  <c r="AD118" i="1"/>
  <c r="AE118" i="1"/>
  <c r="AF118" i="1"/>
  <c r="AD119" i="1"/>
  <c r="AC120" i="1"/>
  <c r="AD120" i="1"/>
  <c r="AG120" i="1" s="1"/>
  <c r="AE120" i="1"/>
  <c r="AF120" i="1"/>
  <c r="AD121" i="1"/>
  <c r="AC122" i="1"/>
  <c r="AD122" i="1"/>
  <c r="AE122" i="1"/>
  <c r="AF122" i="1"/>
  <c r="AC123" i="1"/>
  <c r="AC124" i="1"/>
  <c r="AD124" i="1"/>
  <c r="AE124" i="1"/>
  <c r="AF124" i="1"/>
  <c r="AD125" i="1"/>
  <c r="AC126" i="1"/>
  <c r="AD126" i="1"/>
  <c r="AE126" i="1"/>
  <c r="AF126" i="1"/>
  <c r="AF127" i="1"/>
  <c r="AC128" i="1"/>
  <c r="AD128" i="1"/>
  <c r="AE128" i="1"/>
  <c r="AF128" i="1"/>
  <c r="AC130" i="1"/>
  <c r="AD130" i="1"/>
  <c r="AE130" i="1"/>
  <c r="AF130" i="1"/>
  <c r="AF131" i="1"/>
  <c r="AC132" i="1"/>
  <c r="AD132" i="1"/>
  <c r="AE132" i="1"/>
  <c r="AF132" i="1"/>
  <c r="AC134" i="1"/>
  <c r="AD134" i="1"/>
  <c r="AE134" i="1"/>
  <c r="AF134" i="1"/>
  <c r="AF135" i="1"/>
  <c r="AC136" i="1"/>
  <c r="AD136" i="1"/>
  <c r="AE136" i="1"/>
  <c r="AF136" i="1"/>
  <c r="AD137" i="1"/>
  <c r="AC138" i="1"/>
  <c r="AD138" i="1"/>
  <c r="AE138" i="1"/>
  <c r="AF138" i="1"/>
  <c r="AE139" i="1"/>
  <c r="AC140" i="1"/>
  <c r="AD140" i="1"/>
  <c r="AE140" i="1"/>
  <c r="AF140" i="1"/>
  <c r="AD141" i="1"/>
  <c r="AC142" i="1"/>
  <c r="AD142" i="1"/>
  <c r="AE142" i="1"/>
  <c r="AF142" i="1"/>
  <c r="AD143" i="1"/>
  <c r="AC144" i="1"/>
  <c r="AD144" i="1"/>
  <c r="AG144" i="1" s="1"/>
  <c r="AE144" i="1"/>
  <c r="AF144" i="1"/>
  <c r="AC146" i="1"/>
  <c r="AD146" i="1"/>
  <c r="AE146" i="1"/>
  <c r="AF146" i="1"/>
  <c r="AD147" i="1"/>
  <c r="AC148" i="1"/>
  <c r="AD148" i="1"/>
  <c r="AE148" i="1"/>
  <c r="AF148" i="1"/>
  <c r="AC150" i="1"/>
  <c r="AD150" i="1"/>
  <c r="AE150" i="1"/>
  <c r="AF150" i="1"/>
  <c r="AD151" i="1"/>
  <c r="AC152" i="1"/>
  <c r="AD152" i="1"/>
  <c r="AE152" i="1"/>
  <c r="AF152" i="1"/>
  <c r="AF153" i="1"/>
  <c r="AC154" i="1"/>
  <c r="AD154" i="1"/>
  <c r="AE154" i="1"/>
  <c r="AF154" i="1"/>
  <c r="AC155" i="1"/>
  <c r="AC156" i="1"/>
  <c r="AD156" i="1"/>
  <c r="AE156" i="1"/>
  <c r="AF156" i="1"/>
  <c r="AC158" i="1"/>
  <c r="AD158" i="1"/>
  <c r="AE158" i="1"/>
  <c r="AF158" i="1"/>
  <c r="AC159" i="1"/>
  <c r="AC160" i="1"/>
  <c r="AD160" i="1"/>
  <c r="AE160" i="1"/>
  <c r="AF160" i="1"/>
  <c r="AC162" i="1"/>
  <c r="AD162" i="1"/>
  <c r="AE162" i="1"/>
  <c r="AF162" i="1"/>
  <c r="AC163" i="1"/>
  <c r="AC164" i="1"/>
  <c r="AD164" i="1"/>
  <c r="AE164" i="1"/>
  <c r="AF164" i="1"/>
  <c r="AE165" i="1"/>
  <c r="AC166" i="1"/>
  <c r="AD166" i="1"/>
  <c r="AE166" i="1"/>
  <c r="AF166" i="1"/>
  <c r="AF167" i="1"/>
  <c r="AC168" i="1"/>
  <c r="AD168" i="1"/>
  <c r="AE168" i="1"/>
  <c r="AF168" i="1"/>
  <c r="AE169" i="1"/>
  <c r="AC170" i="1"/>
  <c r="AD170" i="1"/>
  <c r="AE170" i="1"/>
  <c r="AF170" i="1"/>
  <c r="AE171" i="1"/>
  <c r="AC172" i="1"/>
  <c r="AD172" i="1"/>
  <c r="AE172" i="1"/>
  <c r="AF172" i="1"/>
  <c r="AC174" i="1"/>
  <c r="AD174" i="1"/>
  <c r="AE174" i="1"/>
  <c r="AF174" i="1"/>
  <c r="AE175" i="1"/>
  <c r="AC176" i="1"/>
  <c r="AD176" i="1"/>
  <c r="AE176" i="1"/>
  <c r="AF176" i="1"/>
  <c r="AC178" i="1"/>
  <c r="AD178" i="1"/>
  <c r="AE178" i="1"/>
  <c r="AF178" i="1"/>
  <c r="AE179" i="1"/>
  <c r="AC180" i="1"/>
  <c r="AD180" i="1"/>
  <c r="AE180" i="1"/>
  <c r="AF180" i="1"/>
  <c r="AE181" i="1"/>
  <c r="AC182" i="1"/>
  <c r="AD182" i="1"/>
  <c r="AE182" i="1"/>
  <c r="AF182" i="1"/>
  <c r="AD183" i="1"/>
  <c r="AC184" i="1"/>
  <c r="AD184" i="1"/>
  <c r="AE184" i="1"/>
  <c r="AF184" i="1"/>
  <c r="AE185" i="1"/>
  <c r="AC186" i="1"/>
  <c r="AD186" i="1"/>
  <c r="AE186" i="1"/>
  <c r="AF186" i="1"/>
  <c r="AC187" i="1"/>
  <c r="AC188" i="1"/>
  <c r="AD188" i="1"/>
  <c r="AE188" i="1"/>
  <c r="AF188" i="1"/>
  <c r="AC190" i="1"/>
  <c r="AD190" i="1"/>
  <c r="AE190" i="1"/>
  <c r="AF190" i="1"/>
  <c r="AC191" i="1"/>
  <c r="AC192" i="1"/>
  <c r="AD192" i="1"/>
  <c r="AE192" i="1"/>
  <c r="AF192" i="1"/>
  <c r="AC194" i="1"/>
  <c r="AD194" i="1"/>
  <c r="AE194" i="1"/>
  <c r="AF194" i="1"/>
  <c r="AC195" i="1"/>
  <c r="AC196" i="1"/>
  <c r="AD196" i="1"/>
  <c r="AE196" i="1"/>
  <c r="AF196" i="1"/>
  <c r="AE197" i="1"/>
  <c r="AC198" i="1"/>
  <c r="AD198" i="1"/>
  <c r="AE198" i="1"/>
  <c r="AF198" i="1"/>
  <c r="AF199" i="1"/>
  <c r="AC200" i="1"/>
  <c r="AD200" i="1"/>
  <c r="AE200" i="1"/>
  <c r="AF200" i="1"/>
  <c r="AE201" i="1"/>
  <c r="AC202" i="1"/>
  <c r="AD202" i="1"/>
  <c r="AE202" i="1"/>
  <c r="AF202" i="1"/>
  <c r="AE203" i="1"/>
  <c r="AC204" i="1"/>
  <c r="AD204" i="1"/>
  <c r="AE204" i="1"/>
  <c r="AF204" i="1"/>
  <c r="AC206" i="1"/>
  <c r="AD206" i="1"/>
  <c r="AE206" i="1"/>
  <c r="AF206" i="1"/>
  <c r="AE207" i="1"/>
  <c r="AC208" i="1"/>
  <c r="AD208" i="1"/>
  <c r="AE208" i="1"/>
  <c r="AF208" i="1"/>
  <c r="AC210" i="1"/>
  <c r="AD210" i="1"/>
  <c r="AE210" i="1"/>
  <c r="AF210" i="1"/>
  <c r="AE211" i="1"/>
  <c r="AC212" i="1"/>
  <c r="AD212" i="1"/>
  <c r="AE212" i="1"/>
  <c r="AF212" i="1"/>
  <c r="AE213" i="1"/>
  <c r="AC214" i="1"/>
  <c r="AD214" i="1"/>
  <c r="AE214" i="1"/>
  <c r="AF214" i="1"/>
  <c r="AC216" i="1"/>
  <c r="AD216" i="1"/>
  <c r="AE216" i="1"/>
  <c r="AF216" i="1"/>
  <c r="AE217" i="1"/>
  <c r="AC218" i="1"/>
  <c r="AD218" i="1"/>
  <c r="AE218" i="1"/>
  <c r="AF218" i="1"/>
  <c r="AC220" i="1"/>
  <c r="AD220" i="1"/>
  <c r="AE220" i="1"/>
  <c r="AF220" i="1"/>
  <c r="AC222" i="1"/>
  <c r="AD222" i="1"/>
  <c r="AE222" i="1"/>
  <c r="AF222" i="1"/>
  <c r="AC224" i="1"/>
  <c r="AD224" i="1"/>
  <c r="AE224" i="1"/>
  <c r="AF224" i="1"/>
  <c r="AC226" i="1"/>
  <c r="AD226" i="1"/>
  <c r="AE226" i="1"/>
  <c r="AF226" i="1"/>
  <c r="AC228" i="1"/>
  <c r="AD228" i="1"/>
  <c r="AE228" i="1"/>
  <c r="AF228" i="1"/>
  <c r="AE229" i="1"/>
  <c r="AC230" i="1"/>
  <c r="AD230" i="1"/>
  <c r="AE230" i="1"/>
  <c r="AF230" i="1"/>
  <c r="AC232" i="1"/>
  <c r="AD232" i="1"/>
  <c r="AE232" i="1"/>
  <c r="AF232" i="1"/>
  <c r="AE233" i="1"/>
  <c r="AC234" i="1"/>
  <c r="AD234" i="1"/>
  <c r="AE234" i="1"/>
  <c r="AF234" i="1"/>
  <c r="AC236" i="1"/>
  <c r="AD236" i="1"/>
  <c r="AE236" i="1"/>
  <c r="AF236" i="1"/>
  <c r="AC238" i="1"/>
  <c r="AD238" i="1"/>
  <c r="AE238" i="1"/>
  <c r="AF238" i="1"/>
  <c r="AE239" i="1"/>
  <c r="AC240" i="1"/>
  <c r="AD240" i="1"/>
  <c r="AE240" i="1"/>
  <c r="AF240" i="1"/>
  <c r="AE241" i="1"/>
  <c r="AF241" i="1"/>
  <c r="AC242" i="1"/>
  <c r="AD242" i="1"/>
  <c r="AE242" i="1"/>
  <c r="AF242" i="1"/>
  <c r="AC244" i="1"/>
  <c r="AD244" i="1"/>
  <c r="AE244" i="1"/>
  <c r="AF244" i="1"/>
  <c r="AF245" i="1"/>
  <c r="AC246" i="1"/>
  <c r="AD246" i="1"/>
  <c r="AE246" i="1"/>
  <c r="AF246" i="1"/>
  <c r="AC248" i="1"/>
  <c r="AD248" i="1"/>
  <c r="AE248" i="1"/>
  <c r="AF248" i="1"/>
  <c r="AC249" i="1"/>
  <c r="AC250" i="1"/>
  <c r="AD250" i="1"/>
  <c r="AE250" i="1"/>
  <c r="AF250" i="1"/>
  <c r="AC252" i="1"/>
  <c r="AD252" i="1"/>
  <c r="AE252" i="1"/>
  <c r="AF252" i="1"/>
  <c r="AC253" i="1"/>
  <c r="AD253" i="1"/>
  <c r="AC254" i="1"/>
  <c r="AD254" i="1"/>
  <c r="AE254" i="1"/>
  <c r="AF254" i="1"/>
  <c r="AC256" i="1"/>
  <c r="AD256" i="1"/>
  <c r="AE256" i="1"/>
  <c r="AF256" i="1"/>
  <c r="AD257" i="1"/>
  <c r="AE257" i="1"/>
  <c r="AC258" i="1"/>
  <c r="AD258" i="1"/>
  <c r="AE258" i="1"/>
  <c r="AF258" i="1"/>
  <c r="AC260" i="1"/>
  <c r="AD260" i="1"/>
  <c r="AE260" i="1"/>
  <c r="AF260" i="1"/>
  <c r="AE261" i="1"/>
  <c r="AC262" i="1"/>
  <c r="AD262" i="1"/>
  <c r="AE262" i="1"/>
  <c r="AF262" i="1"/>
  <c r="AD263" i="1"/>
  <c r="AC264" i="1"/>
  <c r="AD264" i="1"/>
  <c r="AE264" i="1"/>
  <c r="AF264" i="1"/>
  <c r="AC265" i="1"/>
  <c r="AC266" i="1"/>
  <c r="AD266" i="1"/>
  <c r="AE266" i="1"/>
  <c r="AF266" i="1"/>
  <c r="AC268" i="1"/>
  <c r="AD268" i="1"/>
  <c r="AE268" i="1"/>
  <c r="AF268" i="1"/>
  <c r="AC269" i="1"/>
  <c r="AD269" i="1"/>
  <c r="AC270" i="1"/>
  <c r="AD270" i="1"/>
  <c r="AE270" i="1"/>
  <c r="AF270" i="1"/>
  <c r="AC272" i="1"/>
  <c r="AD272" i="1"/>
  <c r="AE272" i="1"/>
  <c r="AF272" i="1"/>
  <c r="AD273" i="1"/>
  <c r="AE273" i="1"/>
  <c r="AC274" i="1"/>
  <c r="AD274" i="1"/>
  <c r="AE274" i="1"/>
  <c r="AF274" i="1"/>
  <c r="AC276" i="1"/>
  <c r="AD276" i="1"/>
  <c r="AE276" i="1"/>
  <c r="AF276" i="1"/>
  <c r="AE277" i="1"/>
  <c r="AC278" i="1"/>
  <c r="AD278" i="1"/>
  <c r="AE278" i="1"/>
  <c r="AF278" i="1"/>
  <c r="AC280" i="1"/>
  <c r="AD280" i="1"/>
  <c r="AE280" i="1"/>
  <c r="AF280" i="1"/>
  <c r="AC281" i="1"/>
  <c r="AC282" i="1"/>
  <c r="AD282" i="1"/>
  <c r="AG282" i="1" s="1"/>
  <c r="AE282" i="1"/>
  <c r="AF282" i="1"/>
  <c r="AD283" i="1"/>
  <c r="AC284" i="1"/>
  <c r="AD284" i="1"/>
  <c r="AE284" i="1"/>
  <c r="AF284" i="1"/>
  <c r="AC285" i="1"/>
  <c r="AD285" i="1"/>
  <c r="AC286" i="1"/>
  <c r="AD286" i="1"/>
  <c r="AE286" i="1"/>
  <c r="AF286" i="1"/>
  <c r="AC287" i="1"/>
  <c r="AC288" i="1"/>
  <c r="AD288" i="1"/>
  <c r="AE288" i="1"/>
  <c r="AF288" i="1"/>
  <c r="AD289" i="1"/>
  <c r="AE289" i="1"/>
  <c r="AC290" i="1"/>
  <c r="AD290" i="1"/>
  <c r="AE290" i="1"/>
  <c r="AF290" i="1"/>
  <c r="AD291" i="1"/>
  <c r="AC292" i="1"/>
  <c r="AD292" i="1"/>
  <c r="AE292" i="1"/>
  <c r="AF292" i="1"/>
  <c r="AD293" i="1"/>
  <c r="AE293" i="1"/>
  <c r="AC294" i="1"/>
  <c r="AD294" i="1"/>
  <c r="AE294" i="1"/>
  <c r="AF294" i="1"/>
  <c r="AC295" i="1"/>
  <c r="AC296" i="1"/>
  <c r="AD296" i="1"/>
  <c r="AE296" i="1"/>
  <c r="AF296" i="1"/>
  <c r="AC297" i="1"/>
  <c r="AE297" i="1"/>
  <c r="AC298" i="1"/>
  <c r="AD298" i="1"/>
  <c r="AG298" i="1" s="1"/>
  <c r="AE298" i="1"/>
  <c r="AF298" i="1"/>
  <c r="AD299" i="1"/>
  <c r="AC300" i="1"/>
  <c r="AD300" i="1"/>
  <c r="AE300" i="1"/>
  <c r="AF300" i="1"/>
  <c r="AC301" i="1"/>
  <c r="AD301" i="1"/>
  <c r="AC302" i="1"/>
  <c r="AD302" i="1"/>
  <c r="AE302" i="1"/>
  <c r="AF302" i="1"/>
  <c r="AC303" i="1"/>
  <c r="AC304" i="1"/>
  <c r="AD304" i="1"/>
  <c r="AE304" i="1"/>
  <c r="AF304" i="1"/>
  <c r="AC305" i="1"/>
  <c r="AG305" i="1" s="1"/>
  <c r="AD305" i="1"/>
  <c r="AE305" i="1"/>
  <c r="AC306" i="1"/>
  <c r="AD306" i="1"/>
  <c r="AE306" i="1"/>
  <c r="AF306" i="1"/>
  <c r="AC308" i="1"/>
  <c r="AD308" i="1"/>
  <c r="AG308" i="1" s="1"/>
  <c r="AE308" i="1"/>
  <c r="AF308" i="1"/>
  <c r="AC309" i="1"/>
  <c r="AD309" i="1"/>
  <c r="AE309" i="1"/>
  <c r="AC310" i="1"/>
  <c r="AD310" i="1"/>
  <c r="AE310" i="1"/>
  <c r="AF310" i="1"/>
  <c r="AC312" i="1"/>
  <c r="AD312" i="1"/>
  <c r="AE312" i="1"/>
  <c r="AF312" i="1"/>
  <c r="AC313" i="1"/>
  <c r="AD313" i="1"/>
  <c r="AE313" i="1"/>
  <c r="AC314" i="1"/>
  <c r="AD314" i="1"/>
  <c r="AE314" i="1"/>
  <c r="AF314" i="1"/>
  <c r="AF315" i="1"/>
  <c r="AC316" i="1"/>
  <c r="AD316" i="1"/>
  <c r="AE316" i="1"/>
  <c r="AF316" i="1"/>
  <c r="AC317" i="1"/>
  <c r="AD317" i="1"/>
  <c r="AE317" i="1"/>
  <c r="AC318" i="1"/>
  <c r="AD318" i="1"/>
  <c r="AE318" i="1"/>
  <c r="AF318" i="1"/>
  <c r="AC319" i="1"/>
  <c r="AC320" i="1"/>
  <c r="AD320" i="1"/>
  <c r="AE320" i="1"/>
  <c r="AF320" i="1"/>
  <c r="AC321" i="1"/>
  <c r="AG321" i="1" s="1"/>
  <c r="AD321" i="1"/>
  <c r="AE321" i="1"/>
  <c r="AC322" i="1"/>
  <c r="AD322" i="1"/>
  <c r="AE322" i="1"/>
  <c r="AF322" i="1"/>
  <c r="AC324" i="1"/>
  <c r="AD324" i="1"/>
  <c r="AG324" i="1" s="1"/>
  <c r="AE324" i="1"/>
  <c r="AF324" i="1"/>
  <c r="AC325" i="1"/>
  <c r="AD325" i="1"/>
  <c r="AE325" i="1"/>
  <c r="AC326" i="1"/>
  <c r="AD326" i="1"/>
  <c r="AE326" i="1"/>
  <c r="AF326" i="1"/>
  <c r="AC328" i="1"/>
  <c r="AD328" i="1"/>
  <c r="AE328" i="1"/>
  <c r="AF328" i="1"/>
  <c r="AC329" i="1"/>
  <c r="AD329" i="1"/>
  <c r="AE329" i="1"/>
  <c r="AC330" i="1"/>
  <c r="AD330" i="1"/>
  <c r="AE330" i="1"/>
  <c r="AF330" i="1"/>
  <c r="AF331" i="1"/>
  <c r="AC332" i="1"/>
  <c r="AD332" i="1"/>
  <c r="AE332" i="1"/>
  <c r="AF332" i="1"/>
  <c r="AC333" i="1"/>
  <c r="AD333" i="1"/>
  <c r="AE333" i="1"/>
  <c r="AC334" i="1"/>
  <c r="AD334" i="1"/>
  <c r="AE334" i="1"/>
  <c r="AF334" i="1"/>
  <c r="AC335" i="1"/>
  <c r="AC336" i="1"/>
  <c r="AD336" i="1"/>
  <c r="AE336" i="1"/>
  <c r="AF336" i="1"/>
  <c r="AC337" i="1"/>
  <c r="AG337" i="1" s="1"/>
  <c r="AD337" i="1"/>
  <c r="AE337" i="1"/>
  <c r="AC338" i="1"/>
  <c r="AD338" i="1"/>
  <c r="AE338" i="1"/>
  <c r="AF338" i="1"/>
  <c r="AC340" i="1"/>
  <c r="AD340" i="1"/>
  <c r="AG340" i="1" s="1"/>
  <c r="AE340" i="1"/>
  <c r="AF340" i="1"/>
  <c r="AC341" i="1"/>
  <c r="AD341" i="1"/>
  <c r="AE341" i="1"/>
  <c r="AC342" i="1"/>
  <c r="AD342" i="1"/>
  <c r="AE342" i="1"/>
  <c r="AF342" i="1"/>
  <c r="AC344" i="1"/>
  <c r="AD344" i="1"/>
  <c r="AE344" i="1"/>
  <c r="AF344" i="1"/>
  <c r="AC345" i="1"/>
  <c r="AD345" i="1"/>
  <c r="AE345" i="1"/>
  <c r="AC346" i="1"/>
  <c r="AD346" i="1"/>
  <c r="AE346" i="1"/>
  <c r="AF346" i="1"/>
  <c r="AF347" i="1"/>
  <c r="AC348" i="1"/>
  <c r="AD348" i="1"/>
  <c r="AE348" i="1"/>
  <c r="AF348" i="1"/>
  <c r="AC349" i="1"/>
  <c r="AD349" i="1"/>
  <c r="AE349" i="1"/>
  <c r="AG349" i="1"/>
  <c r="AC350" i="1"/>
  <c r="AD350" i="1"/>
  <c r="AE350" i="1"/>
  <c r="AF350" i="1"/>
  <c r="AF343" i="1" l="1"/>
  <c r="AC343" i="1"/>
  <c r="AF327" i="1"/>
  <c r="AC327" i="1"/>
  <c r="AD319" i="1"/>
  <c r="AE319" i="1"/>
  <c r="AG319" i="1" s="1"/>
  <c r="AE307" i="1"/>
  <c r="AG307" i="1" s="1"/>
  <c r="AF307" i="1"/>
  <c r="AD295" i="1"/>
  <c r="AE295" i="1"/>
  <c r="AF283" i="1"/>
  <c r="AC283" i="1"/>
  <c r="AF271" i="1"/>
  <c r="AC271" i="1"/>
  <c r="AF259" i="1"/>
  <c r="AC259" i="1"/>
  <c r="AD259" i="1"/>
  <c r="AC247" i="1"/>
  <c r="AD247" i="1"/>
  <c r="AE247" i="1"/>
  <c r="AF239" i="1"/>
  <c r="AC239" i="1"/>
  <c r="AG239" i="1" s="1"/>
  <c r="AD239" i="1"/>
  <c r="AC231" i="1"/>
  <c r="AD231" i="1"/>
  <c r="AE231" i="1"/>
  <c r="AD219" i="1"/>
  <c r="AE219" i="1"/>
  <c r="AF219" i="1"/>
  <c r="AG300" i="1"/>
  <c r="AG284" i="1"/>
  <c r="AF275" i="1"/>
  <c r="AE271" i="1"/>
  <c r="AC351" i="1"/>
  <c r="AD351" i="1"/>
  <c r="AE339" i="1"/>
  <c r="AF339" i="1"/>
  <c r="AC331" i="1"/>
  <c r="AG331" i="1" s="1"/>
  <c r="AD331" i="1"/>
  <c r="AC315" i="1"/>
  <c r="AG315" i="1" s="1"/>
  <c r="AD315" i="1"/>
  <c r="AD303" i="1"/>
  <c r="AE303" i="1"/>
  <c r="AF291" i="1"/>
  <c r="AC291" i="1"/>
  <c r="AC279" i="1"/>
  <c r="AD279" i="1"/>
  <c r="AD267" i="1"/>
  <c r="AE267" i="1"/>
  <c r="AD255" i="1"/>
  <c r="AE255" i="1"/>
  <c r="AF255" i="1"/>
  <c r="AG255" i="1" s="1"/>
  <c r="AD243" i="1"/>
  <c r="AE243" i="1"/>
  <c r="AF243" i="1"/>
  <c r="AD227" i="1"/>
  <c r="AE227" i="1"/>
  <c r="AG227" i="1" s="1"/>
  <c r="AF227" i="1"/>
  <c r="AE215" i="1"/>
  <c r="AF215" i="1"/>
  <c r="AC215" i="1"/>
  <c r="AE343" i="1"/>
  <c r="AE327" i="1"/>
  <c r="AE311" i="1"/>
  <c r="AG311" i="1" s="1"/>
  <c r="AF351" i="1"/>
  <c r="AD343" i="1"/>
  <c r="AD339" i="1"/>
  <c r="AD327" i="1"/>
  <c r="AD307" i="1"/>
  <c r="AF279" i="1"/>
  <c r="AD271" i="1"/>
  <c r="AC267" i="1"/>
  <c r="AC255" i="1"/>
  <c r="AC347" i="1"/>
  <c r="AG347" i="1" s="1"/>
  <c r="AD347" i="1"/>
  <c r="AD335" i="1"/>
  <c r="AE335" i="1"/>
  <c r="AE323" i="1"/>
  <c r="AF323" i="1"/>
  <c r="AG323" i="1" s="1"/>
  <c r="AF311" i="1"/>
  <c r="AC311" i="1"/>
  <c r="AF299" i="1"/>
  <c r="AC299" i="1"/>
  <c r="AG299" i="1" s="1"/>
  <c r="AD287" i="1"/>
  <c r="AE287" i="1"/>
  <c r="AD275" i="1"/>
  <c r="AE275" i="1"/>
  <c r="AG275" i="1" s="1"/>
  <c r="AE263" i="1"/>
  <c r="AF263" i="1"/>
  <c r="AF251" i="1"/>
  <c r="AD251" i="1"/>
  <c r="AG251" i="1" s="1"/>
  <c r="AC251" i="1"/>
  <c r="AF235" i="1"/>
  <c r="AC235" i="1"/>
  <c r="AD235" i="1"/>
  <c r="AG235" i="1" s="1"/>
  <c r="AD223" i="1"/>
  <c r="AE223" i="1"/>
  <c r="AF223" i="1"/>
  <c r="AE351" i="1"/>
  <c r="AG351" i="1" s="1"/>
  <c r="AC339" i="1"/>
  <c r="AF335" i="1"/>
  <c r="AC323" i="1"/>
  <c r="AF319" i="1"/>
  <c r="AC307" i="1"/>
  <c r="AF303" i="1"/>
  <c r="AE299" i="1"/>
  <c r="AF295" i="1"/>
  <c r="AG295" i="1" s="1"/>
  <c r="AE291" i="1"/>
  <c r="AF287" i="1"/>
  <c r="AE283" i="1"/>
  <c r="AG283" i="1" s="1"/>
  <c r="AE279" i="1"/>
  <c r="AG279" i="1" s="1"/>
  <c r="AE259" i="1"/>
  <c r="AF247" i="1"/>
  <c r="AF231" i="1"/>
  <c r="AC219" i="1"/>
  <c r="AD211" i="1"/>
  <c r="AD175" i="1"/>
  <c r="AD171" i="1"/>
  <c r="AF163" i="1"/>
  <c r="AC151" i="1"/>
  <c r="AG151" i="1" s="1"/>
  <c r="AC143" i="1"/>
  <c r="AE135" i="1"/>
  <c r="AE127" i="1"/>
  <c r="AC115" i="1"/>
  <c r="AC111" i="1"/>
  <c r="AE103" i="1"/>
  <c r="AG250" i="1"/>
  <c r="AE199" i="1"/>
  <c r="AG199" i="1" s="1"/>
  <c r="AF191" i="1"/>
  <c r="AD179" i="1"/>
  <c r="AF159" i="1"/>
  <c r="AF155" i="1"/>
  <c r="AC147" i="1"/>
  <c r="AG147" i="1" s="1"/>
  <c r="AG140" i="1"/>
  <c r="AD139" i="1"/>
  <c r="AE131" i="1"/>
  <c r="AG108" i="1"/>
  <c r="AD107" i="1"/>
  <c r="AC211" i="1"/>
  <c r="AG211" i="1" s="1"/>
  <c r="AC207" i="1"/>
  <c r="AG207" i="1" s="1"/>
  <c r="AC203" i="1"/>
  <c r="AG203" i="1" s="1"/>
  <c r="AD199" i="1"/>
  <c r="AE195" i="1"/>
  <c r="AE191" i="1"/>
  <c r="AE187" i="1"/>
  <c r="AG187" i="1" s="1"/>
  <c r="AF183" i="1"/>
  <c r="AC179" i="1"/>
  <c r="AG179" i="1" s="1"/>
  <c r="AC175" i="1"/>
  <c r="AC171" i="1"/>
  <c r="AG171" i="1" s="1"/>
  <c r="AD167" i="1"/>
  <c r="AE163" i="1"/>
  <c r="AG163" i="1" s="1"/>
  <c r="AE159" i="1"/>
  <c r="AG159" i="1" s="1"/>
  <c r="AE155" i="1"/>
  <c r="AG155" i="1" s="1"/>
  <c r="AF151" i="1"/>
  <c r="AG150" i="1"/>
  <c r="AF147" i="1"/>
  <c r="AF143" i="1"/>
  <c r="AC139" i="1"/>
  <c r="AG136" i="1"/>
  <c r="AD135" i="1"/>
  <c r="AG135" i="1" s="1"/>
  <c r="AG132" i="1"/>
  <c r="AD131" i="1"/>
  <c r="AG128" i="1"/>
  <c r="AD127" i="1"/>
  <c r="AE123" i="1"/>
  <c r="AG123" i="1" s="1"/>
  <c r="AF119" i="1"/>
  <c r="AF115" i="1"/>
  <c r="AF111" i="1"/>
  <c r="AC107" i="1"/>
  <c r="AG107" i="1" s="1"/>
  <c r="AG104" i="1"/>
  <c r="AD103" i="1"/>
  <c r="AG252" i="1"/>
  <c r="AD207" i="1"/>
  <c r="AD203" i="1"/>
  <c r="AF195" i="1"/>
  <c r="AF187" i="1"/>
  <c r="AC183" i="1"/>
  <c r="AG183" i="1" s="1"/>
  <c r="AE167" i="1"/>
  <c r="AG167" i="1" s="1"/>
  <c r="AF123" i="1"/>
  <c r="AC119" i="1"/>
  <c r="AG119" i="1" s="1"/>
  <c r="AG288" i="1"/>
  <c r="AG286" i="1"/>
  <c r="AG256" i="1"/>
  <c r="AG254" i="1"/>
  <c r="AG124" i="1"/>
  <c r="AG344" i="1"/>
  <c r="AG341" i="1"/>
  <c r="AG328" i="1"/>
  <c r="AG312" i="1"/>
  <c r="AG309" i="1"/>
  <c r="AG272" i="1"/>
  <c r="AG339" i="1"/>
  <c r="AG336" i="1"/>
  <c r="AG333" i="1"/>
  <c r="AG320" i="1"/>
  <c r="AG317" i="1"/>
  <c r="AG304" i="1"/>
  <c r="AG268" i="1"/>
  <c r="AG266" i="1"/>
  <c r="AF301" i="1"/>
  <c r="AE301" i="1"/>
  <c r="AG301" i="1" s="1"/>
  <c r="AF297" i="1"/>
  <c r="AD297" i="1"/>
  <c r="AF293" i="1"/>
  <c r="AC293" i="1"/>
  <c r="AG293" i="1" s="1"/>
  <c r="AF289" i="1"/>
  <c r="AC289" i="1"/>
  <c r="AF285" i="1"/>
  <c r="AE285" i="1"/>
  <c r="AG285" i="1" s="1"/>
  <c r="AF281" i="1"/>
  <c r="AD281" i="1"/>
  <c r="AE281" i="1"/>
  <c r="AF277" i="1"/>
  <c r="AC277" i="1"/>
  <c r="AD277" i="1"/>
  <c r="AF273" i="1"/>
  <c r="AC273" i="1"/>
  <c r="AG273" i="1" s="1"/>
  <c r="AF269" i="1"/>
  <c r="AG269" i="1" s="1"/>
  <c r="AE269" i="1"/>
  <c r="AF265" i="1"/>
  <c r="AD265" i="1"/>
  <c r="AG265" i="1" s="1"/>
  <c r="AE265" i="1"/>
  <c r="AF261" i="1"/>
  <c r="AC261" i="1"/>
  <c r="AD261" i="1"/>
  <c r="AF257" i="1"/>
  <c r="AC257" i="1"/>
  <c r="AF253" i="1"/>
  <c r="AE253" i="1"/>
  <c r="AF249" i="1"/>
  <c r="AD249" i="1"/>
  <c r="AE249" i="1"/>
  <c r="AC245" i="1"/>
  <c r="AD245" i="1"/>
  <c r="AE245" i="1"/>
  <c r="AC241" i="1"/>
  <c r="AD241" i="1"/>
  <c r="AC237" i="1"/>
  <c r="AD237" i="1"/>
  <c r="AE237" i="1"/>
  <c r="AF237" i="1"/>
  <c r="AF233" i="1"/>
  <c r="AC233" i="1"/>
  <c r="AD233" i="1"/>
  <c r="AF229" i="1"/>
  <c r="AC229" i="1"/>
  <c r="AD229" i="1"/>
  <c r="AF225" i="1"/>
  <c r="AC225" i="1"/>
  <c r="AD225" i="1"/>
  <c r="AE225" i="1"/>
  <c r="AF221" i="1"/>
  <c r="AC221" i="1"/>
  <c r="AD221" i="1"/>
  <c r="AE221" i="1"/>
  <c r="AF217" i="1"/>
  <c r="AC217" i="1"/>
  <c r="AD217" i="1"/>
  <c r="AF213" i="1"/>
  <c r="AC213" i="1"/>
  <c r="AD213" i="1"/>
  <c r="AF209" i="1"/>
  <c r="AC209" i="1"/>
  <c r="AD209" i="1"/>
  <c r="AE209" i="1"/>
  <c r="AF205" i="1"/>
  <c r="AC205" i="1"/>
  <c r="AD205" i="1"/>
  <c r="AE205" i="1"/>
  <c r="AF201" i="1"/>
  <c r="AC201" i="1"/>
  <c r="AD201" i="1"/>
  <c r="AF197" i="1"/>
  <c r="AC197" i="1"/>
  <c r="AD197" i="1"/>
  <c r="AF193" i="1"/>
  <c r="AC193" i="1"/>
  <c r="AD193" i="1"/>
  <c r="AE193" i="1"/>
  <c r="AF189" i="1"/>
  <c r="AC189" i="1"/>
  <c r="AD189" i="1"/>
  <c r="AE189" i="1"/>
  <c r="AF185" i="1"/>
  <c r="AC185" i="1"/>
  <c r="AD185" i="1"/>
  <c r="AF181" i="1"/>
  <c r="AC181" i="1"/>
  <c r="AD181" i="1"/>
  <c r="AF177" i="1"/>
  <c r="AC177" i="1"/>
  <c r="AD177" i="1"/>
  <c r="AE177" i="1"/>
  <c r="AF173" i="1"/>
  <c r="AC173" i="1"/>
  <c r="AD173" i="1"/>
  <c r="AE173" i="1"/>
  <c r="AF169" i="1"/>
  <c r="AC169" i="1"/>
  <c r="AD169" i="1"/>
  <c r="AF165" i="1"/>
  <c r="AC165" i="1"/>
  <c r="AD165" i="1"/>
  <c r="AF161" i="1"/>
  <c r="AC161" i="1"/>
  <c r="AD161" i="1"/>
  <c r="AE161" i="1"/>
  <c r="AF157" i="1"/>
  <c r="AC157" i="1"/>
  <c r="AD157" i="1"/>
  <c r="AE157" i="1"/>
  <c r="AC153" i="1"/>
  <c r="AD153" i="1"/>
  <c r="AE153" i="1"/>
  <c r="AD149" i="1"/>
  <c r="AE149" i="1"/>
  <c r="AF149" i="1"/>
  <c r="AC149" i="1"/>
  <c r="AE145" i="1"/>
  <c r="AF145" i="1"/>
  <c r="AC145" i="1"/>
  <c r="AD145" i="1"/>
  <c r="AE141" i="1"/>
  <c r="AF141" i="1"/>
  <c r="AC141" i="1"/>
  <c r="AE137" i="1"/>
  <c r="AF137" i="1"/>
  <c r="AC137" i="1"/>
  <c r="AE133" i="1"/>
  <c r="AF133" i="1"/>
  <c r="AC133" i="1"/>
  <c r="AD133" i="1"/>
  <c r="AE129" i="1"/>
  <c r="AF129" i="1"/>
  <c r="AC129" i="1"/>
  <c r="AD129" i="1"/>
  <c r="AE125" i="1"/>
  <c r="AF125" i="1"/>
  <c r="AC125" i="1"/>
  <c r="AE121" i="1"/>
  <c r="AF121" i="1"/>
  <c r="AC121" i="1"/>
  <c r="AE117" i="1"/>
  <c r="AF117" i="1"/>
  <c r="AC117" i="1"/>
  <c r="AD117" i="1"/>
  <c r="AE113" i="1"/>
  <c r="AF113" i="1"/>
  <c r="AC113" i="1"/>
  <c r="AD113" i="1"/>
  <c r="AE109" i="1"/>
  <c r="AF109" i="1"/>
  <c r="AC109" i="1"/>
  <c r="AE105" i="1"/>
  <c r="AF105" i="1"/>
  <c r="AC105" i="1"/>
  <c r="AG342" i="1"/>
  <c r="AG325" i="1"/>
  <c r="AG270" i="1"/>
  <c r="AG350" i="1"/>
  <c r="AG348" i="1"/>
  <c r="AG346" i="1"/>
  <c r="AG345" i="1"/>
  <c r="AG335" i="1"/>
  <c r="AG332" i="1"/>
  <c r="AG329" i="1"/>
  <c r="AG316" i="1"/>
  <c r="AG313" i="1"/>
  <c r="AG303" i="1"/>
  <c r="AG287" i="1"/>
  <c r="AG253" i="1"/>
  <c r="AG243" i="1"/>
  <c r="AG292" i="1"/>
  <c r="AG290" i="1"/>
  <c r="AG276" i="1"/>
  <c r="AG274" i="1"/>
  <c r="AG263" i="1"/>
  <c r="AG260" i="1"/>
  <c r="AG258" i="1"/>
  <c r="AG247" i="1"/>
  <c r="AG244" i="1"/>
  <c r="AG242" i="1"/>
  <c r="AG338" i="1"/>
  <c r="AG334" i="1"/>
  <c r="AG330" i="1"/>
  <c r="AG326" i="1"/>
  <c r="AG322" i="1"/>
  <c r="AG318" i="1"/>
  <c r="AG314" i="1"/>
  <c r="AG310" i="1"/>
  <c r="AG306" i="1"/>
  <c r="AG302" i="1"/>
  <c r="AG296" i="1"/>
  <c r="AG294" i="1"/>
  <c r="AG280" i="1"/>
  <c r="AG278" i="1"/>
  <c r="AG267" i="1"/>
  <c r="AG264" i="1"/>
  <c r="AG262" i="1"/>
  <c r="AG248" i="1"/>
  <c r="AG246" i="1"/>
  <c r="AG240" i="1"/>
  <c r="AG238" i="1"/>
  <c r="AG236" i="1"/>
  <c r="AG234" i="1"/>
  <c r="AG232" i="1"/>
  <c r="AG230" i="1"/>
  <c r="AG228" i="1"/>
  <c r="AG226" i="1"/>
  <c r="AG224" i="1"/>
  <c r="AG222" i="1"/>
  <c r="AG220" i="1"/>
  <c r="AG218" i="1"/>
  <c r="AG216" i="1"/>
  <c r="AG214" i="1"/>
  <c r="AG212" i="1"/>
  <c r="AG210" i="1"/>
  <c r="AG208" i="1"/>
  <c r="AG204" i="1"/>
  <c r="AG200" i="1"/>
  <c r="AG196" i="1"/>
  <c r="AG192" i="1"/>
  <c r="AG188" i="1"/>
  <c r="AG184" i="1"/>
  <c r="AG180" i="1"/>
  <c r="AG176" i="1"/>
  <c r="AG175" i="1"/>
  <c r="AG172" i="1"/>
  <c r="AG168" i="1"/>
  <c r="AG164" i="1"/>
  <c r="AG160" i="1"/>
  <c r="AG156" i="1"/>
  <c r="AG146" i="1"/>
  <c r="AG152" i="1"/>
  <c r="AG142" i="1"/>
  <c r="AG138" i="1"/>
  <c r="AG134" i="1"/>
  <c r="AG130" i="1"/>
  <c r="AG126" i="1"/>
  <c r="AG122" i="1"/>
  <c r="AG118" i="1"/>
  <c r="AG114" i="1"/>
  <c r="AG110" i="1"/>
  <c r="AG106" i="1"/>
  <c r="AG102" i="1"/>
  <c r="AG206" i="1"/>
  <c r="AG202" i="1"/>
  <c r="AG198" i="1"/>
  <c r="AG194" i="1"/>
  <c r="AG190" i="1"/>
  <c r="AG186" i="1"/>
  <c r="AG182" i="1"/>
  <c r="AG178" i="1"/>
  <c r="AG174" i="1"/>
  <c r="AG170" i="1"/>
  <c r="AG166" i="1"/>
  <c r="AG162" i="1"/>
  <c r="AG158" i="1"/>
  <c r="AG154" i="1"/>
  <c r="AG148" i="1"/>
  <c r="AG143" i="1"/>
  <c r="AG139" i="1"/>
  <c r="AG131" i="1"/>
  <c r="AG127" i="1"/>
  <c r="AG115" i="1"/>
  <c r="AG111" i="1"/>
  <c r="AG103" i="1"/>
  <c r="X370" i="1"/>
  <c r="X369" i="1"/>
  <c r="X368" i="1"/>
  <c r="AG185" i="1" l="1"/>
  <c r="AG217" i="1"/>
  <c r="AG191" i="1"/>
  <c r="AG327" i="1"/>
  <c r="AG231" i="1"/>
  <c r="AG195" i="1"/>
  <c r="AG223" i="1"/>
  <c r="AG343" i="1"/>
  <c r="AG215" i="1"/>
  <c r="AG271" i="1"/>
  <c r="AG125" i="1"/>
  <c r="AG129" i="1"/>
  <c r="AG133" i="1"/>
  <c r="AG169" i="1"/>
  <c r="AG173" i="1"/>
  <c r="AG177" i="1"/>
  <c r="AG201" i="1"/>
  <c r="AG205" i="1"/>
  <c r="AG209" i="1"/>
  <c r="AG233" i="1"/>
  <c r="AG249" i="1"/>
  <c r="AG257" i="1"/>
  <c r="AG281" i="1"/>
  <c r="AG289" i="1"/>
  <c r="AG297" i="1"/>
  <c r="AG259" i="1"/>
  <c r="AG291" i="1"/>
  <c r="AG219" i="1"/>
  <c r="AG121" i="1"/>
  <c r="AG149" i="1"/>
  <c r="AG165" i="1"/>
  <c r="AG197" i="1"/>
  <c r="AG229" i="1"/>
  <c r="AG237" i="1"/>
  <c r="AG277" i="1"/>
  <c r="AG109" i="1"/>
  <c r="AG113" i="1"/>
  <c r="AG117" i="1"/>
  <c r="AG141" i="1"/>
  <c r="AG145" i="1"/>
  <c r="AG157" i="1"/>
  <c r="AG161" i="1"/>
  <c r="AG189" i="1"/>
  <c r="AG193" i="1"/>
  <c r="AG221" i="1"/>
  <c r="AG225" i="1"/>
  <c r="AG245" i="1"/>
  <c r="AG105" i="1"/>
  <c r="AG137" i="1"/>
  <c r="AG153" i="1"/>
  <c r="AG181" i="1"/>
  <c r="AG213" i="1"/>
  <c r="AG241" i="1"/>
  <c r="AG261" i="1"/>
  <c r="X364" i="1"/>
  <c r="F41" i="16" l="1"/>
  <c r="I41" i="16" s="1"/>
  <c r="F40" i="16"/>
  <c r="F39" i="16"/>
  <c r="F38" i="16"/>
  <c r="E41" i="16"/>
  <c r="E40" i="16"/>
  <c r="E39" i="16"/>
  <c r="E38" i="16"/>
  <c r="U101" i="1"/>
  <c r="U100" i="1"/>
  <c r="U99" i="1"/>
  <c r="U98" i="1"/>
  <c r="U97" i="1"/>
  <c r="U96" i="1"/>
  <c r="U95" i="1"/>
  <c r="U94" i="1"/>
  <c r="U93" i="1"/>
  <c r="U92" i="1"/>
  <c r="U91" i="1"/>
  <c r="U90" i="1"/>
  <c r="U89" i="1"/>
  <c r="U88" i="1"/>
  <c r="U87" i="1"/>
  <c r="U86" i="1"/>
  <c r="U85" i="1"/>
  <c r="U84" i="1"/>
  <c r="U83" i="1"/>
  <c r="U82" i="1"/>
  <c r="U81" i="1"/>
  <c r="U80" i="1"/>
  <c r="U79" i="1"/>
  <c r="U78" i="1"/>
  <c r="U77" i="1"/>
  <c r="U76" i="1"/>
  <c r="U75" i="1"/>
  <c r="U74" i="1"/>
  <c r="U73" i="1"/>
  <c r="U72" i="1"/>
  <c r="U71" i="1"/>
  <c r="U70" i="1"/>
  <c r="U69" i="1"/>
  <c r="U68" i="1"/>
  <c r="U67" i="1"/>
  <c r="U66" i="1"/>
  <c r="U65" i="1"/>
  <c r="U64" i="1"/>
  <c r="U63" i="1"/>
  <c r="U62" i="1"/>
  <c r="U61" i="1"/>
  <c r="U60" i="1"/>
  <c r="U59" i="1"/>
  <c r="U58" i="1"/>
  <c r="U57" i="1"/>
  <c r="U56" i="1"/>
  <c r="U55" i="1"/>
  <c r="U54" i="1"/>
  <c r="U53" i="1"/>
  <c r="U52" i="1"/>
  <c r="L101" i="1"/>
  <c r="L100" i="1"/>
  <c r="L99" i="1"/>
  <c r="L98" i="1"/>
  <c r="L97" i="1"/>
  <c r="L96" i="1"/>
  <c r="L95" i="1"/>
  <c r="L94" i="1"/>
  <c r="L93" i="1"/>
  <c r="L92" i="1"/>
  <c r="L91" i="1"/>
  <c r="L90" i="1"/>
  <c r="L89" i="1"/>
  <c r="L88" i="1"/>
  <c r="L87" i="1"/>
  <c r="L86" i="1"/>
  <c r="L85" i="1"/>
  <c r="L84" i="1"/>
  <c r="L83" i="1"/>
  <c r="L82" i="1"/>
  <c r="L81" i="1"/>
  <c r="L80" i="1"/>
  <c r="L79" i="1"/>
  <c r="L78" i="1"/>
  <c r="L77" i="1"/>
  <c r="L76" i="1"/>
  <c r="L75" i="1"/>
  <c r="L74" i="1"/>
  <c r="L73" i="1"/>
  <c r="L72" i="1"/>
  <c r="L71" i="1"/>
  <c r="L70" i="1"/>
  <c r="L69" i="1"/>
  <c r="L68" i="1"/>
  <c r="L67" i="1"/>
  <c r="L66" i="1"/>
  <c r="L65" i="1"/>
  <c r="L64" i="1"/>
  <c r="L63" i="1"/>
  <c r="L62" i="1"/>
  <c r="L61" i="1"/>
  <c r="L60" i="1"/>
  <c r="L59" i="1"/>
  <c r="L58" i="1"/>
  <c r="L57" i="1"/>
  <c r="L56" i="1"/>
  <c r="L55" i="1"/>
  <c r="L54" i="1"/>
  <c r="L53" i="1"/>
  <c r="L52" i="1"/>
  <c r="AF352" i="1"/>
  <c r="H101" i="1"/>
  <c r="H100" i="1"/>
  <c r="H99" i="1"/>
  <c r="H98" i="1"/>
  <c r="H97" i="1"/>
  <c r="H96" i="1"/>
  <c r="H95" i="1"/>
  <c r="H94" i="1"/>
  <c r="H93" i="1"/>
  <c r="H92" i="1"/>
  <c r="H91" i="1"/>
  <c r="H90" i="1"/>
  <c r="H89" i="1"/>
  <c r="H88" i="1"/>
  <c r="H87" i="1"/>
  <c r="H86" i="1"/>
  <c r="H85" i="1"/>
  <c r="H84" i="1"/>
  <c r="H83" i="1"/>
  <c r="H82" i="1"/>
  <c r="H81" i="1"/>
  <c r="H80" i="1"/>
  <c r="H79" i="1"/>
  <c r="H78" i="1"/>
  <c r="H77" i="1"/>
  <c r="H76" i="1"/>
  <c r="H75" i="1"/>
  <c r="H74" i="1"/>
  <c r="H73" i="1"/>
  <c r="H72" i="1"/>
  <c r="H71" i="1"/>
  <c r="H70" i="1"/>
  <c r="H69" i="1"/>
  <c r="H68" i="1"/>
  <c r="H67" i="1"/>
  <c r="H66" i="1"/>
  <c r="H65" i="1"/>
  <c r="H64" i="1"/>
  <c r="H63" i="1"/>
  <c r="H62" i="1"/>
  <c r="H61" i="1"/>
  <c r="H60" i="1"/>
  <c r="H59" i="1"/>
  <c r="H58" i="1"/>
  <c r="H57" i="1"/>
  <c r="H56" i="1"/>
  <c r="H55" i="1"/>
  <c r="H54" i="1"/>
  <c r="H53" i="1"/>
  <c r="H52" i="1"/>
  <c r="E101" i="1"/>
  <c r="AD101" i="1" s="1"/>
  <c r="E100" i="1"/>
  <c r="AD100" i="1" s="1"/>
  <c r="E99" i="1"/>
  <c r="AD99" i="1" s="1"/>
  <c r="E98" i="1"/>
  <c r="AC98" i="1" s="1"/>
  <c r="E97" i="1"/>
  <c r="AC97" i="1" s="1"/>
  <c r="E96" i="1"/>
  <c r="AC96" i="1" s="1"/>
  <c r="E95" i="1"/>
  <c r="AC95" i="1" s="1"/>
  <c r="E94" i="1"/>
  <c r="AC94" i="1" s="1"/>
  <c r="E93" i="1"/>
  <c r="AC93" i="1" s="1"/>
  <c r="E92" i="1"/>
  <c r="AC92" i="1" s="1"/>
  <c r="E91" i="1"/>
  <c r="AC91" i="1" s="1"/>
  <c r="E90" i="1"/>
  <c r="AC90" i="1" s="1"/>
  <c r="E89" i="1"/>
  <c r="AD89" i="1" s="1"/>
  <c r="E88" i="1"/>
  <c r="AC88" i="1" s="1"/>
  <c r="E87" i="1"/>
  <c r="AD87" i="1" s="1"/>
  <c r="E86" i="1"/>
  <c r="AD86" i="1" s="1"/>
  <c r="E85" i="1"/>
  <c r="AD85" i="1" s="1"/>
  <c r="E84" i="1"/>
  <c r="AC84" i="1" s="1"/>
  <c r="E83" i="1"/>
  <c r="AD83" i="1" s="1"/>
  <c r="E82" i="1"/>
  <c r="AD82" i="1" s="1"/>
  <c r="E81" i="1"/>
  <c r="AC81" i="1" s="1"/>
  <c r="E80" i="1"/>
  <c r="AC80" i="1" s="1"/>
  <c r="E79" i="1"/>
  <c r="AD79" i="1" s="1"/>
  <c r="E78" i="1"/>
  <c r="AE78" i="1" s="1"/>
  <c r="E77" i="1"/>
  <c r="AE77" i="1" s="1"/>
  <c r="E76" i="1"/>
  <c r="AE76" i="1" s="1"/>
  <c r="E75" i="1"/>
  <c r="AE75" i="1" s="1"/>
  <c r="E74" i="1"/>
  <c r="AE74" i="1" s="1"/>
  <c r="E73" i="1"/>
  <c r="AE73" i="1" s="1"/>
  <c r="E72" i="1"/>
  <c r="AE72" i="1" s="1"/>
  <c r="E71" i="1"/>
  <c r="AE71" i="1" s="1"/>
  <c r="E70" i="1"/>
  <c r="AE70" i="1" s="1"/>
  <c r="E69" i="1"/>
  <c r="AE69" i="1" s="1"/>
  <c r="E68" i="1"/>
  <c r="AE68" i="1" s="1"/>
  <c r="E67" i="1"/>
  <c r="AE67" i="1" s="1"/>
  <c r="E66" i="1"/>
  <c r="AE66" i="1" s="1"/>
  <c r="E65" i="1"/>
  <c r="AE65" i="1" s="1"/>
  <c r="E64" i="1"/>
  <c r="AF64" i="1" s="1"/>
  <c r="E63" i="1"/>
  <c r="AF63" i="1" s="1"/>
  <c r="E62" i="1"/>
  <c r="AF62" i="1" s="1"/>
  <c r="E61" i="1"/>
  <c r="AD61" i="1" s="1"/>
  <c r="E60" i="1"/>
  <c r="AD60" i="1" s="1"/>
  <c r="E59" i="1"/>
  <c r="AD59" i="1" s="1"/>
  <c r="E58" i="1"/>
  <c r="AD58" i="1" s="1"/>
  <c r="E57" i="1"/>
  <c r="AD57" i="1" s="1"/>
  <c r="E56" i="1"/>
  <c r="AD56" i="1" s="1"/>
  <c r="E55" i="1"/>
  <c r="AE55" i="1" s="1"/>
  <c r="E54" i="1"/>
  <c r="AC54" i="1" s="1"/>
  <c r="E53" i="1"/>
  <c r="AC53" i="1" s="1"/>
  <c r="E52" i="1"/>
  <c r="AC52" i="1" s="1"/>
  <c r="AF52" i="1" l="1"/>
  <c r="AC101" i="1"/>
  <c r="AF95" i="1"/>
  <c r="AC89" i="1"/>
  <c r="AF83" i="1"/>
  <c r="AD77" i="1"/>
  <c r="AE63" i="1"/>
  <c r="AC61" i="1"/>
  <c r="AC58" i="1"/>
  <c r="AC57" i="1"/>
  <c r="AC56" i="1"/>
  <c r="AF53" i="1"/>
  <c r="AE52" i="1"/>
  <c r="AC99" i="1"/>
  <c r="AF94" i="1"/>
  <c r="AF86" i="1"/>
  <c r="AC83" i="1"/>
  <c r="AC77" i="1"/>
  <c r="AF61" i="1"/>
  <c r="AF58" i="1"/>
  <c r="AF57" i="1"/>
  <c r="AF56" i="1"/>
  <c r="AF55" i="1"/>
  <c r="AE53" i="1"/>
  <c r="AD52" i="1"/>
  <c r="AG52" i="1" s="1"/>
  <c r="AF98" i="1"/>
  <c r="AF91" i="1"/>
  <c r="AC86" i="1"/>
  <c r="AF79" i="1"/>
  <c r="AD76" i="1"/>
  <c r="AE61" i="1"/>
  <c r="AE58" i="1"/>
  <c r="AG58" i="1" s="1"/>
  <c r="AE57" i="1"/>
  <c r="AE56" i="1"/>
  <c r="AD55" i="1"/>
  <c r="AD53" i="1"/>
  <c r="AF96" i="1"/>
  <c r="AF90" i="1"/>
  <c r="AC85" i="1"/>
  <c r="AC79" i="1"/>
  <c r="AE64" i="1"/>
  <c r="AC55" i="1"/>
  <c r="I38" i="16"/>
  <c r="E42" i="16"/>
  <c r="I39" i="16"/>
  <c r="I40" i="16"/>
  <c r="AF92" i="1"/>
  <c r="AC87" i="1"/>
  <c r="AF87" i="1"/>
  <c r="AF82" i="1"/>
  <c r="AC82" i="1"/>
  <c r="AF78" i="1"/>
  <c r="AD78" i="1"/>
  <c r="AC78" i="1"/>
  <c r="AC60" i="1"/>
  <c r="AF60" i="1"/>
  <c r="AE60" i="1"/>
  <c r="AC59" i="1"/>
  <c r="AF59" i="1"/>
  <c r="AE59" i="1"/>
  <c r="AF54" i="1"/>
  <c r="AD54" i="1"/>
  <c r="AE54" i="1"/>
  <c r="AD352" i="1"/>
  <c r="AE352" i="1"/>
  <c r="AC352" i="1"/>
  <c r="AC100" i="1"/>
  <c r="AF101" i="1"/>
  <c r="AF100" i="1"/>
  <c r="AF99" i="1"/>
  <c r="AE101" i="1"/>
  <c r="AE100" i="1"/>
  <c r="AE99" i="1"/>
  <c r="AE98" i="1"/>
  <c r="AE97" i="1"/>
  <c r="AE96" i="1"/>
  <c r="AE95" i="1"/>
  <c r="AE94" i="1"/>
  <c r="AE93" i="1"/>
  <c r="AE92" i="1"/>
  <c r="AE91" i="1"/>
  <c r="AE90" i="1"/>
  <c r="AF93" i="1"/>
  <c r="AD98" i="1"/>
  <c r="AD97" i="1"/>
  <c r="AD96" i="1"/>
  <c r="AD95" i="1"/>
  <c r="AD94" i="1"/>
  <c r="AD93" i="1"/>
  <c r="AD92" i="1"/>
  <c r="AD91" i="1"/>
  <c r="AG91" i="1" s="1"/>
  <c r="AD90" i="1"/>
  <c r="AF97" i="1"/>
  <c r="AF89" i="1"/>
  <c r="AF88" i="1"/>
  <c r="AF85" i="1"/>
  <c r="AF84" i="1"/>
  <c r="AE89" i="1"/>
  <c r="AE88" i="1"/>
  <c r="AE87" i="1"/>
  <c r="AE86" i="1"/>
  <c r="AE85" i="1"/>
  <c r="AE84" i="1"/>
  <c r="AE83" i="1"/>
  <c r="AG83" i="1" s="1"/>
  <c r="AE82" i="1"/>
  <c r="AE81" i="1"/>
  <c r="AE80" i="1"/>
  <c r="AE79" i="1"/>
  <c r="AF81" i="1"/>
  <c r="AF80" i="1"/>
  <c r="AD88" i="1"/>
  <c r="AG88" i="1" s="1"/>
  <c r="AD84" i="1"/>
  <c r="AD81" i="1"/>
  <c r="AD80" i="1"/>
  <c r="AD75" i="1"/>
  <c r="AF75" i="1"/>
  <c r="AC76" i="1"/>
  <c r="AC75" i="1"/>
  <c r="AF77" i="1"/>
  <c r="AG77" i="1" s="1"/>
  <c r="AF76" i="1"/>
  <c r="AD74" i="1"/>
  <c r="AD73" i="1"/>
  <c r="AD72" i="1"/>
  <c r="AD71" i="1"/>
  <c r="AD70" i="1"/>
  <c r="AD69" i="1"/>
  <c r="AC74" i="1"/>
  <c r="AC73" i="1"/>
  <c r="AC72" i="1"/>
  <c r="AC71" i="1"/>
  <c r="AC70" i="1"/>
  <c r="AC69" i="1"/>
  <c r="AF74" i="1"/>
  <c r="AF73" i="1"/>
  <c r="AF72" i="1"/>
  <c r="AF71" i="1"/>
  <c r="AF70" i="1"/>
  <c r="AF69" i="1"/>
  <c r="AC68" i="1"/>
  <c r="AF68" i="1"/>
  <c r="AD68" i="1"/>
  <c r="AD67" i="1"/>
  <c r="AD66" i="1"/>
  <c r="AD65" i="1"/>
  <c r="AC67" i="1"/>
  <c r="AC66" i="1"/>
  <c r="AC65" i="1"/>
  <c r="AF67" i="1"/>
  <c r="AF66" i="1"/>
  <c r="AF65" i="1"/>
  <c r="AE62" i="1"/>
  <c r="AD64" i="1"/>
  <c r="AD63" i="1"/>
  <c r="AD62" i="1"/>
  <c r="AC64" i="1"/>
  <c r="AC63" i="1"/>
  <c r="AC62" i="1"/>
  <c r="F42" i="16"/>
  <c r="J360" i="1"/>
  <c r="J359" i="1"/>
  <c r="J358" i="1"/>
  <c r="J357" i="1"/>
  <c r="I355" i="1"/>
  <c r="AG61" i="1" l="1"/>
  <c r="AG95" i="1"/>
  <c r="AG93" i="1"/>
  <c r="AG54" i="1"/>
  <c r="AG55" i="1"/>
  <c r="AG64" i="1"/>
  <c r="AG82" i="1"/>
  <c r="AG99" i="1"/>
  <c r="AG92" i="1"/>
  <c r="AG66" i="1"/>
  <c r="AG63" i="1"/>
  <c r="AG76" i="1"/>
  <c r="AG86" i="1"/>
  <c r="AG57" i="1"/>
  <c r="AG84" i="1"/>
  <c r="AG79" i="1"/>
  <c r="AG87" i="1"/>
  <c r="I42" i="16"/>
  <c r="AG80" i="1"/>
  <c r="AG101" i="1"/>
  <c r="AG53" i="1"/>
  <c r="AG96" i="1"/>
  <c r="AG90" i="1"/>
  <c r="AG94" i="1"/>
  <c r="AG98" i="1"/>
  <c r="AG60" i="1"/>
  <c r="AG56" i="1"/>
  <c r="AG70" i="1"/>
  <c r="AG74" i="1"/>
  <c r="AG59" i="1"/>
  <c r="AG78" i="1"/>
  <c r="AG352" i="1"/>
  <c r="AG100" i="1"/>
  <c r="AG97" i="1"/>
  <c r="AG89" i="1"/>
  <c r="AG81" i="1"/>
  <c r="AG85" i="1"/>
  <c r="AG75" i="1"/>
  <c r="AG69" i="1"/>
  <c r="AG73" i="1"/>
  <c r="AG72" i="1"/>
  <c r="AG71" i="1"/>
  <c r="AG68" i="1"/>
  <c r="AG65" i="1"/>
  <c r="AG67" i="1"/>
  <c r="AG62" i="1"/>
  <c r="D38" i="16"/>
  <c r="H38" i="16" s="1"/>
  <c r="D39" i="16"/>
  <c r="H39" i="16" s="1"/>
  <c r="D40" i="16"/>
  <c r="H40" i="16" s="1"/>
  <c r="D41" i="16"/>
  <c r="H41" i="16" s="1"/>
  <c r="J361" i="1"/>
  <c r="K357" i="1" s="1"/>
  <c r="R382" i="1"/>
  <c r="K360" i="1" l="1"/>
  <c r="K358" i="1"/>
  <c r="K359" i="1"/>
  <c r="D42" i="16"/>
  <c r="H42" i="16" s="1"/>
  <c r="X367" i="1"/>
  <c r="X366" i="1"/>
  <c r="X365" i="1"/>
  <c r="X363" i="1"/>
  <c r="X362" i="1"/>
  <c r="X361" i="1"/>
  <c r="X360" i="1"/>
  <c r="X359" i="1"/>
  <c r="R387" i="1"/>
  <c r="R386" i="1"/>
  <c r="R385" i="1"/>
  <c r="R384" i="1"/>
  <c r="R383" i="1"/>
  <c r="R381" i="1"/>
  <c r="R380" i="1"/>
  <c r="R379" i="1"/>
  <c r="R378" i="1"/>
  <c r="R377" i="1"/>
  <c r="R376" i="1"/>
  <c r="R375" i="1"/>
  <c r="R374" i="1"/>
  <c r="R373" i="1"/>
  <c r="R372" i="1"/>
  <c r="R371" i="1"/>
  <c r="R370" i="1"/>
  <c r="R369" i="1"/>
  <c r="R368" i="1"/>
  <c r="R367" i="1"/>
  <c r="R366" i="1"/>
  <c r="R365" i="1"/>
  <c r="R364" i="1"/>
  <c r="R363" i="1"/>
  <c r="R362" i="1"/>
  <c r="R361" i="1"/>
  <c r="R360" i="1"/>
  <c r="R359" i="1"/>
  <c r="R358" i="1"/>
  <c r="R357" i="1"/>
  <c r="R388" i="1" l="1"/>
  <c r="X358" i="1"/>
  <c r="X357" i="1"/>
  <c r="F20" i="16" l="1"/>
  <c r="E20" i="16"/>
  <c r="F19" i="16"/>
  <c r="E19" i="16"/>
  <c r="H49" i="2"/>
  <c r="F36" i="5"/>
  <c r="F35" i="5"/>
  <c r="L51" i="1"/>
  <c r="L50" i="1"/>
  <c r="L49" i="1"/>
  <c r="L48" i="1"/>
  <c r="L47" i="1"/>
  <c r="L46" i="1"/>
  <c r="L45" i="1"/>
  <c r="L44" i="1"/>
  <c r="L43" i="1"/>
  <c r="L42" i="1"/>
  <c r="L41" i="1"/>
  <c r="L40" i="1"/>
  <c r="L39" i="1"/>
  <c r="L38" i="1"/>
  <c r="L37" i="1"/>
  <c r="L36" i="1"/>
  <c r="L35" i="1"/>
  <c r="L34" i="1"/>
  <c r="L33" i="1"/>
  <c r="L32" i="1"/>
  <c r="L31" i="1"/>
  <c r="L30" i="1"/>
  <c r="L29" i="1"/>
  <c r="L28" i="1"/>
  <c r="L27" i="1"/>
  <c r="L26" i="1"/>
  <c r="L25" i="1"/>
  <c r="L24" i="1"/>
  <c r="L23" i="1"/>
  <c r="L22" i="1"/>
  <c r="L21" i="1"/>
  <c r="L20" i="1"/>
  <c r="L19" i="1"/>
  <c r="L18" i="1"/>
  <c r="L17" i="1"/>
  <c r="L16" i="1"/>
  <c r="L15" i="1"/>
  <c r="L14" i="1"/>
  <c r="L13" i="1"/>
  <c r="L12" i="1"/>
  <c r="L11" i="1"/>
  <c r="L10" i="1"/>
  <c r="L9" i="1"/>
  <c r="L8" i="1"/>
  <c r="L7" i="1"/>
  <c r="L6" i="1"/>
  <c r="L5" i="1"/>
  <c r="L4" i="1"/>
  <c r="L3" i="1"/>
  <c r="H51" i="1"/>
  <c r="H50" i="1"/>
  <c r="H49" i="1"/>
  <c r="H48" i="1"/>
  <c r="H47" i="1"/>
  <c r="H46" i="1"/>
  <c r="H45" i="1"/>
  <c r="H44" i="1"/>
  <c r="H43" i="1"/>
  <c r="H42" i="1"/>
  <c r="H41" i="1"/>
  <c r="H40" i="1"/>
  <c r="H39" i="1"/>
  <c r="H38" i="1"/>
  <c r="H37" i="1"/>
  <c r="H36" i="1"/>
  <c r="H35" i="1"/>
  <c r="H34" i="1"/>
  <c r="H33" i="1"/>
  <c r="H32" i="1"/>
  <c r="H31" i="1"/>
  <c r="H30" i="1"/>
  <c r="H29" i="1"/>
  <c r="H28" i="1"/>
  <c r="H27" i="1"/>
  <c r="H26" i="1"/>
  <c r="H25" i="1"/>
  <c r="H24" i="1"/>
  <c r="H23" i="1"/>
  <c r="H22" i="1"/>
  <c r="H21" i="1"/>
  <c r="H20" i="1"/>
  <c r="H19" i="1"/>
  <c r="H18" i="1"/>
  <c r="H17" i="1"/>
  <c r="H16" i="1"/>
  <c r="H15" i="1"/>
  <c r="H14" i="1"/>
  <c r="H13" i="1"/>
  <c r="H12" i="1"/>
  <c r="H11" i="1"/>
  <c r="H10" i="1"/>
  <c r="H9" i="1"/>
  <c r="H8" i="1"/>
  <c r="H7" i="1"/>
  <c r="H6" i="1"/>
  <c r="H5" i="1"/>
  <c r="H4" i="1"/>
  <c r="H3" i="1"/>
  <c r="E10" i="16" l="1"/>
  <c r="E12" i="16"/>
  <c r="E8" i="16"/>
  <c r="F41" i="4"/>
  <c r="D12" i="16" s="1"/>
  <c r="F8" i="16"/>
  <c r="F10" i="16"/>
  <c r="F12" i="16"/>
  <c r="M358" i="1"/>
  <c r="M362" i="1"/>
  <c r="E7" i="16"/>
  <c r="E9" i="16"/>
  <c r="E11" i="16"/>
  <c r="E13" i="16"/>
  <c r="M359" i="1"/>
  <c r="M363" i="1"/>
  <c r="D7" i="18"/>
  <c r="E7" i="18"/>
  <c r="E19" i="18" s="1"/>
  <c r="F7" i="16"/>
  <c r="F9" i="16"/>
  <c r="F11" i="16"/>
  <c r="F13" i="16"/>
  <c r="M360" i="1"/>
  <c r="M357" i="1"/>
  <c r="M361" i="1"/>
  <c r="F42" i="4"/>
  <c r="E10" i="18"/>
  <c r="E22" i="18" s="1"/>
  <c r="E11" i="18"/>
  <c r="E23" i="18" s="1"/>
  <c r="D8" i="18"/>
  <c r="E8" i="18"/>
  <c r="E20" i="18" s="1"/>
  <c r="D12" i="18"/>
  <c r="F36" i="4"/>
  <c r="F40" i="4"/>
  <c r="F39" i="4"/>
  <c r="D9" i="18"/>
  <c r="E9" i="18"/>
  <c r="E21" i="18" s="1"/>
  <c r="E12" i="18"/>
  <c r="E24" i="18" s="1"/>
  <c r="F37" i="4"/>
  <c r="D6" i="18"/>
  <c r="E6" i="18"/>
  <c r="E18" i="18" s="1"/>
  <c r="D10" i="18"/>
  <c r="D11" i="18"/>
  <c r="F38" i="4"/>
  <c r="H37" i="5"/>
  <c r="G40" i="3"/>
  <c r="V355" i="1"/>
  <c r="X371" i="1" s="1"/>
  <c r="P355" i="1"/>
  <c r="I12" i="16" l="1"/>
  <c r="H12" i="16"/>
  <c r="M364" i="1"/>
  <c r="L355" i="1" s="1"/>
  <c r="G11" i="18"/>
  <c r="D35" i="18" s="1"/>
  <c r="D65" i="16"/>
  <c r="D66" i="16"/>
  <c r="D67" i="16"/>
  <c r="D58" i="16"/>
  <c r="D57" i="16"/>
  <c r="G53" i="4"/>
  <c r="H48" i="2"/>
  <c r="H47" i="2"/>
  <c r="G47" i="2"/>
  <c r="H46" i="2"/>
  <c r="G46" i="2"/>
  <c r="C61" i="2"/>
  <c r="D59" i="2" s="1"/>
  <c r="G23" i="18" l="1"/>
  <c r="E35" i="18"/>
  <c r="G35" i="18" s="1"/>
  <c r="F31" i="16"/>
  <c r="E31" i="16"/>
  <c r="F30" i="16"/>
  <c r="E30" i="16"/>
  <c r="F33" i="16"/>
  <c r="F29" i="16"/>
  <c r="E32" i="16"/>
  <c r="E28" i="16"/>
  <c r="F32" i="16"/>
  <c r="F28" i="16"/>
  <c r="E33" i="16"/>
  <c r="E29" i="16"/>
  <c r="E66" i="16"/>
  <c r="E65" i="16"/>
  <c r="D68" i="16"/>
  <c r="D59" i="16"/>
  <c r="E57" i="16" s="1"/>
  <c r="F52" i="2"/>
  <c r="F37" i="5"/>
  <c r="G35" i="5" s="1"/>
  <c r="F50" i="2"/>
  <c r="F53" i="2"/>
  <c r="F51" i="2"/>
  <c r="F43" i="4"/>
  <c r="G54" i="2"/>
  <c r="F46" i="2"/>
  <c r="F47" i="2"/>
  <c r="H54" i="2"/>
  <c r="D60" i="2"/>
  <c r="D61" i="2" s="1"/>
  <c r="E51" i="1"/>
  <c r="E50" i="1"/>
  <c r="E49" i="1"/>
  <c r="E48" i="1"/>
  <c r="E47" i="1"/>
  <c r="E46" i="1"/>
  <c r="E45" i="1"/>
  <c r="E44" i="1"/>
  <c r="E43" i="1"/>
  <c r="E42" i="1"/>
  <c r="E41" i="1"/>
  <c r="E40" i="1"/>
  <c r="E39" i="1"/>
  <c r="E38" i="1"/>
  <c r="E37" i="1"/>
  <c r="E36" i="1"/>
  <c r="E35" i="1"/>
  <c r="E34" i="1"/>
  <c r="E33" i="1"/>
  <c r="E32" i="1"/>
  <c r="E31" i="1"/>
  <c r="E30" i="1"/>
  <c r="E29" i="1"/>
  <c r="E28" i="1"/>
  <c r="E27" i="1"/>
  <c r="E26" i="1"/>
  <c r="E25" i="1"/>
  <c r="E24" i="1"/>
  <c r="E23" i="1"/>
  <c r="E22" i="1"/>
  <c r="E21" i="1"/>
  <c r="E20" i="1"/>
  <c r="E19" i="1"/>
  <c r="E18" i="1"/>
  <c r="E17" i="1"/>
  <c r="E16" i="1"/>
  <c r="E15" i="1"/>
  <c r="E14" i="1"/>
  <c r="E13" i="1"/>
  <c r="E12" i="1"/>
  <c r="E11" i="1"/>
  <c r="E10" i="1"/>
  <c r="E9" i="1"/>
  <c r="E8" i="1"/>
  <c r="E7" i="1"/>
  <c r="E6" i="1"/>
  <c r="E5" i="1"/>
  <c r="E4" i="1"/>
  <c r="E3" i="1"/>
  <c r="E37" i="3" l="1"/>
  <c r="F37" i="3"/>
  <c r="C37" i="3"/>
  <c r="D37" i="3"/>
  <c r="D29" i="16"/>
  <c r="D33" i="16"/>
  <c r="D30" i="16"/>
  <c r="D28" i="16"/>
  <c r="D31" i="16"/>
  <c r="D32" i="16"/>
  <c r="G36" i="4"/>
  <c r="G43" i="4" s="1"/>
  <c r="G41" i="4"/>
  <c r="AE4" i="1"/>
  <c r="AD4" i="1"/>
  <c r="AF4" i="1"/>
  <c r="AC4" i="1"/>
  <c r="AE16" i="1"/>
  <c r="AD16" i="1"/>
  <c r="AC16" i="1"/>
  <c r="AF16" i="1"/>
  <c r="AE28" i="1"/>
  <c r="AD28" i="1"/>
  <c r="AF28" i="1"/>
  <c r="AC28" i="1"/>
  <c r="AE36" i="1"/>
  <c r="AF36" i="1"/>
  <c r="AD36" i="1"/>
  <c r="AC36" i="1"/>
  <c r="AE9" i="1"/>
  <c r="AD9" i="1"/>
  <c r="AC9" i="1"/>
  <c r="AF9" i="1"/>
  <c r="AE17" i="1"/>
  <c r="AD17" i="1"/>
  <c r="AF17" i="1"/>
  <c r="AC17" i="1"/>
  <c r="AE21" i="1"/>
  <c r="AF21" i="1"/>
  <c r="AD21" i="1"/>
  <c r="AC21" i="1"/>
  <c r="AE25" i="1"/>
  <c r="AF25" i="1"/>
  <c r="AD25" i="1"/>
  <c r="AC25" i="1"/>
  <c r="AE29" i="1"/>
  <c r="AF29" i="1"/>
  <c r="AD29" i="1"/>
  <c r="AC29" i="1"/>
  <c r="AE33" i="1"/>
  <c r="AD33" i="1"/>
  <c r="AF33" i="1"/>
  <c r="AC33" i="1"/>
  <c r="AE37" i="1"/>
  <c r="AD37" i="1"/>
  <c r="AC37" i="1"/>
  <c r="AF37" i="1"/>
  <c r="AE41" i="1"/>
  <c r="AD41" i="1"/>
  <c r="AC41" i="1"/>
  <c r="AF41" i="1"/>
  <c r="AE45" i="1"/>
  <c r="AD45" i="1"/>
  <c r="AC45" i="1"/>
  <c r="AF45" i="1"/>
  <c r="AE49" i="1"/>
  <c r="AD49" i="1"/>
  <c r="AC49" i="1"/>
  <c r="AF49" i="1"/>
  <c r="AE8" i="1"/>
  <c r="AD8" i="1"/>
  <c r="AF8" i="1"/>
  <c r="AC8" i="1"/>
  <c r="AE24" i="1"/>
  <c r="AD24" i="1"/>
  <c r="AC24" i="1"/>
  <c r="AF24" i="1"/>
  <c r="AE5" i="1"/>
  <c r="AF5" i="1"/>
  <c r="AD5" i="1"/>
  <c r="AC5" i="1"/>
  <c r="AE13" i="1"/>
  <c r="AD13" i="1"/>
  <c r="AC13" i="1"/>
  <c r="AF13" i="1"/>
  <c r="AE6" i="1"/>
  <c r="AD6" i="1"/>
  <c r="AC6" i="1"/>
  <c r="AF6" i="1"/>
  <c r="AE10" i="1"/>
  <c r="AF10" i="1"/>
  <c r="AD10" i="1"/>
  <c r="AC10" i="1"/>
  <c r="AE14" i="1"/>
  <c r="AD14" i="1"/>
  <c r="AF14" i="1"/>
  <c r="AC14" i="1"/>
  <c r="AE18" i="1"/>
  <c r="AF18" i="1"/>
  <c r="AD18" i="1"/>
  <c r="AC18" i="1"/>
  <c r="AE22" i="1"/>
  <c r="AD22" i="1"/>
  <c r="AC22" i="1"/>
  <c r="AF22" i="1"/>
  <c r="AE26" i="1"/>
  <c r="AD26" i="1"/>
  <c r="AF26" i="1"/>
  <c r="AC26" i="1"/>
  <c r="AE30" i="1"/>
  <c r="AD30" i="1"/>
  <c r="AC30" i="1"/>
  <c r="AF30" i="1"/>
  <c r="AE34" i="1"/>
  <c r="AD34" i="1"/>
  <c r="AC34" i="1"/>
  <c r="AF34" i="1"/>
  <c r="AE38" i="1"/>
  <c r="AD38" i="1"/>
  <c r="AF38" i="1"/>
  <c r="AC38" i="1"/>
  <c r="AE42" i="1"/>
  <c r="AD42" i="1"/>
  <c r="AF42" i="1"/>
  <c r="AC42" i="1"/>
  <c r="AE46" i="1"/>
  <c r="AD46" i="1"/>
  <c r="AF46" i="1"/>
  <c r="AC46" i="1"/>
  <c r="AE50" i="1"/>
  <c r="AD50" i="1"/>
  <c r="AC50" i="1"/>
  <c r="AF50" i="1"/>
  <c r="AE12" i="1"/>
  <c r="AF12" i="1"/>
  <c r="AD12" i="1"/>
  <c r="AC12" i="1"/>
  <c r="AE20" i="1"/>
  <c r="AD20" i="1"/>
  <c r="AF20" i="1"/>
  <c r="AC20" i="1"/>
  <c r="AE32" i="1"/>
  <c r="AD32" i="1"/>
  <c r="AC32" i="1"/>
  <c r="AF32" i="1"/>
  <c r="AE40" i="1"/>
  <c r="AD40" i="1"/>
  <c r="AF40" i="1"/>
  <c r="AC40" i="1"/>
  <c r="AE44" i="1"/>
  <c r="AD44" i="1"/>
  <c r="AF44" i="1"/>
  <c r="AC44" i="1"/>
  <c r="AE48" i="1"/>
  <c r="AD48" i="1"/>
  <c r="AF48" i="1"/>
  <c r="AC48" i="1"/>
  <c r="AF3" i="1"/>
  <c r="AE3" i="1"/>
  <c r="AC3" i="1"/>
  <c r="AD3" i="1"/>
  <c r="AE7" i="1"/>
  <c r="AF7" i="1"/>
  <c r="AD7" i="1"/>
  <c r="AC7" i="1"/>
  <c r="AE11" i="1"/>
  <c r="AD11" i="1"/>
  <c r="AF11" i="1"/>
  <c r="AC11" i="1"/>
  <c r="AE15" i="1"/>
  <c r="AF15" i="1"/>
  <c r="AD15" i="1"/>
  <c r="AC15" i="1"/>
  <c r="AE19" i="1"/>
  <c r="AD19" i="1"/>
  <c r="AC19" i="1"/>
  <c r="AF19" i="1"/>
  <c r="AE23" i="1"/>
  <c r="AD23" i="1"/>
  <c r="AF23" i="1"/>
  <c r="AC23" i="1"/>
  <c r="AE27" i="1"/>
  <c r="AD27" i="1"/>
  <c r="AC27" i="1"/>
  <c r="AF27" i="1"/>
  <c r="AE31" i="1"/>
  <c r="AD31" i="1"/>
  <c r="AF31" i="1"/>
  <c r="AC31" i="1"/>
  <c r="AE35" i="1"/>
  <c r="AD35" i="1"/>
  <c r="AF35" i="1"/>
  <c r="AC35" i="1"/>
  <c r="AE39" i="1"/>
  <c r="AD39" i="1"/>
  <c r="AC39" i="1"/>
  <c r="AF39" i="1"/>
  <c r="AE43" i="1"/>
  <c r="AD43" i="1"/>
  <c r="AC43" i="1"/>
  <c r="AF43" i="1"/>
  <c r="AE47" i="1"/>
  <c r="AD47" i="1"/>
  <c r="AC47" i="1"/>
  <c r="AF47" i="1"/>
  <c r="AE51" i="1"/>
  <c r="AD51" i="1"/>
  <c r="AF51" i="1"/>
  <c r="AC51" i="1"/>
  <c r="E67" i="16"/>
  <c r="H33" i="16"/>
  <c r="F34" i="16"/>
  <c r="E34" i="16"/>
  <c r="I33" i="16"/>
  <c r="E58" i="16"/>
  <c r="E59" i="16" s="1"/>
  <c r="G36" i="5"/>
  <c r="G37" i="5" s="1"/>
  <c r="G42" i="4"/>
  <c r="G39" i="4"/>
  <c r="G37" i="4"/>
  <c r="G38" i="4"/>
  <c r="G40" i="4"/>
  <c r="F54" i="2"/>
  <c r="E47" i="2" s="1"/>
  <c r="I31" i="16"/>
  <c r="H31" i="16"/>
  <c r="U41" i="1"/>
  <c r="U40" i="1"/>
  <c r="U39" i="1"/>
  <c r="U38" i="1"/>
  <c r="U37" i="1"/>
  <c r="U36" i="1"/>
  <c r="U35" i="1"/>
  <c r="U34" i="1"/>
  <c r="U33" i="1"/>
  <c r="U32" i="1"/>
  <c r="U31" i="1"/>
  <c r="E60" i="2"/>
  <c r="E59" i="2"/>
  <c r="AG15" i="1" l="1"/>
  <c r="AG20" i="1"/>
  <c r="AG14" i="1"/>
  <c r="AG21" i="1"/>
  <c r="AG16" i="1"/>
  <c r="AC353" i="1"/>
  <c r="AD353" i="1"/>
  <c r="AF353" i="1"/>
  <c r="AE353" i="1"/>
  <c r="AG22" i="1"/>
  <c r="AG19" i="1"/>
  <c r="AG18" i="1"/>
  <c r="AG17" i="1"/>
  <c r="AG13" i="1"/>
  <c r="D34" i="16"/>
  <c r="E52" i="2"/>
  <c r="E46" i="2"/>
  <c r="E53" i="2"/>
  <c r="E51" i="2"/>
  <c r="E50" i="2"/>
  <c r="AG31" i="1"/>
  <c r="E61" i="2"/>
  <c r="F59" i="2" s="1"/>
  <c r="H32" i="16"/>
  <c r="G37" i="3"/>
  <c r="AG39" i="1"/>
  <c r="AG42" i="1"/>
  <c r="AG38" i="1"/>
  <c r="I19" i="16"/>
  <c r="AG26" i="1"/>
  <c r="I20" i="16"/>
  <c r="G6" i="18"/>
  <c r="H28" i="16"/>
  <c r="AG43" i="1"/>
  <c r="AG35" i="1"/>
  <c r="AG27" i="1"/>
  <c r="AG23" i="1"/>
  <c r="AG7" i="1"/>
  <c r="H29" i="16"/>
  <c r="AG36" i="1"/>
  <c r="AG11" i="1"/>
  <c r="F21" i="16"/>
  <c r="H30" i="16"/>
  <c r="I29" i="16"/>
  <c r="AG47" i="1"/>
  <c r="AG25" i="1"/>
  <c r="AG12" i="1"/>
  <c r="I30" i="16"/>
  <c r="AG50" i="1"/>
  <c r="AG51" i="1"/>
  <c r="AG45" i="1"/>
  <c r="AG37" i="1"/>
  <c r="AG28" i="1"/>
  <c r="AG8" i="1"/>
  <c r="AG48" i="1"/>
  <c r="AG40" i="1"/>
  <c r="AG33" i="1"/>
  <c r="AG29" i="1"/>
  <c r="AG9" i="1"/>
  <c r="AG49" i="1"/>
  <c r="AG41" i="1"/>
  <c r="AG34" i="1"/>
  <c r="AG24" i="1"/>
  <c r="AG10" i="1"/>
  <c r="E21" i="16"/>
  <c r="I28" i="16"/>
  <c r="I32" i="16"/>
  <c r="E13" i="18"/>
  <c r="D13" i="18"/>
  <c r="G12" i="18"/>
  <c r="G10" i="18"/>
  <c r="G9" i="18"/>
  <c r="D33" i="18" s="1"/>
  <c r="G8" i="18"/>
  <c r="D32" i="18" s="1"/>
  <c r="G7" i="18"/>
  <c r="AG4" i="1"/>
  <c r="AG5" i="1"/>
  <c r="AG3" i="1"/>
  <c r="AG6" i="1"/>
  <c r="AG353" i="1" l="1"/>
  <c r="D20" i="18"/>
  <c r="D21" i="18"/>
  <c r="E54" i="2"/>
  <c r="D19" i="18"/>
  <c r="D22" i="18"/>
  <c r="D24" i="18"/>
  <c r="D23" i="18"/>
  <c r="E38" i="3"/>
  <c r="F14" i="16"/>
  <c r="E32" i="18"/>
  <c r="G32" i="18" s="1"/>
  <c r="G20" i="18"/>
  <c r="D34" i="18"/>
  <c r="G22" i="18"/>
  <c r="E33" i="18"/>
  <c r="G33" i="18" s="1"/>
  <c r="G21" i="18"/>
  <c r="E31" i="18"/>
  <c r="G19" i="18"/>
  <c r="E36" i="18"/>
  <c r="G24" i="18"/>
  <c r="D30" i="18"/>
  <c r="G18" i="18"/>
  <c r="F60" i="2"/>
  <c r="F61" i="2" s="1"/>
  <c r="I34" i="16"/>
  <c r="H34" i="16"/>
  <c r="D38" i="3"/>
  <c r="C38" i="3"/>
  <c r="F38" i="3"/>
  <c r="E30" i="18"/>
  <c r="D18" i="18"/>
  <c r="D36" i="18"/>
  <c r="G36" i="18" s="1"/>
  <c r="D31" i="18"/>
  <c r="I8" i="16"/>
  <c r="I13" i="16"/>
  <c r="E34" i="18"/>
  <c r="I7" i="16"/>
  <c r="AG32" i="1"/>
  <c r="I9" i="16"/>
  <c r="I10" i="16"/>
  <c r="I21" i="16"/>
  <c r="I11" i="16"/>
  <c r="G13" i="18"/>
  <c r="E14" i="16"/>
  <c r="G30" i="18" l="1"/>
  <c r="G25" i="18"/>
  <c r="G31" i="18"/>
  <c r="E37" i="18"/>
  <c r="G34" i="18"/>
  <c r="G38" i="3"/>
  <c r="I14" i="16"/>
  <c r="D37" i="18"/>
  <c r="E25" i="18"/>
  <c r="D25" i="18"/>
  <c r="U4" i="1"/>
  <c r="U5" i="1"/>
  <c r="U6" i="1"/>
  <c r="U7" i="1"/>
  <c r="U8" i="1"/>
  <c r="U9" i="1"/>
  <c r="U10" i="1"/>
  <c r="U11" i="1"/>
  <c r="U12" i="1"/>
  <c r="U13" i="1"/>
  <c r="U14" i="1"/>
  <c r="U15" i="1"/>
  <c r="U16" i="1"/>
  <c r="U17" i="1"/>
  <c r="U18" i="1"/>
  <c r="U19" i="1"/>
  <c r="U20" i="1"/>
  <c r="U21" i="1"/>
  <c r="U22" i="1"/>
  <c r="U23" i="1"/>
  <c r="U24" i="1"/>
  <c r="U25" i="1"/>
  <c r="U26" i="1"/>
  <c r="U27" i="1"/>
  <c r="U28" i="1"/>
  <c r="U29" i="1"/>
  <c r="U30" i="1"/>
  <c r="U42" i="1"/>
  <c r="U43" i="1"/>
  <c r="U44" i="1"/>
  <c r="U45" i="1"/>
  <c r="U46" i="1"/>
  <c r="U47" i="1"/>
  <c r="U48" i="1"/>
  <c r="U49" i="1"/>
  <c r="U50" i="1"/>
  <c r="U51" i="1"/>
  <c r="U3" i="1"/>
  <c r="G37" i="18" l="1"/>
  <c r="D13" i="16"/>
  <c r="H13" i="16" s="1"/>
  <c r="AG30" i="1" l="1"/>
  <c r="AG46" i="1"/>
  <c r="AG44" i="1"/>
  <c r="D20" i="16"/>
  <c r="H20" i="16" s="1"/>
  <c r="D19" i="16"/>
  <c r="E49" i="16" l="1"/>
  <c r="F46" i="16"/>
  <c r="E47" i="16"/>
  <c r="E46" i="16"/>
  <c r="F47" i="16"/>
  <c r="F49" i="16"/>
  <c r="E48" i="16"/>
  <c r="F48" i="16"/>
  <c r="D21" i="16"/>
  <c r="H21" i="16" s="1"/>
  <c r="H19" i="16"/>
  <c r="D8" i="16"/>
  <c r="H8" i="16" s="1"/>
  <c r="D9" i="16"/>
  <c r="H9" i="16" s="1"/>
  <c r="D10" i="16"/>
  <c r="H10" i="16" s="1"/>
  <c r="D7" i="16"/>
  <c r="H7" i="16" s="1"/>
  <c r="D11" i="16"/>
  <c r="H11" i="16" s="1"/>
  <c r="I48" i="16" l="1"/>
  <c r="I49" i="16"/>
  <c r="E50" i="16"/>
  <c r="F50" i="16"/>
  <c r="I47" i="16"/>
  <c r="I46" i="16"/>
  <c r="D14" i="16"/>
  <c r="H14" i="16" s="1"/>
  <c r="I50" i="16" l="1"/>
  <c r="I31" i="3" l="1"/>
  <c r="I28" i="3"/>
  <c r="I30" i="3"/>
  <c r="I29" i="3"/>
  <c r="D46" i="16"/>
  <c r="D47" i="16"/>
  <c r="H47" i="16" s="1"/>
  <c r="D48" i="16"/>
  <c r="H48" i="16" s="1"/>
  <c r="D49" i="16"/>
  <c r="H49" i="16" s="1"/>
  <c r="D50" i="16" l="1"/>
  <c r="H50" i="16" s="1"/>
  <c r="H46" i="16"/>
</calcChain>
</file>

<file path=xl/sharedStrings.xml><?xml version="1.0" encoding="utf-8"?>
<sst xmlns="http://schemas.openxmlformats.org/spreadsheetml/2006/main" count="385" uniqueCount="174">
  <si>
    <t>Admitted to Drug Court?</t>
  </si>
  <si>
    <t>Successful Completion?</t>
  </si>
  <si>
    <t>Absconded</t>
  </si>
  <si>
    <t>Gender</t>
  </si>
  <si>
    <t>Race</t>
  </si>
  <si>
    <t>Asian</t>
  </si>
  <si>
    <t>Ethnicity</t>
  </si>
  <si>
    <t>Male</t>
  </si>
  <si>
    <t>Female</t>
  </si>
  <si>
    <t>White or Caucasian</t>
  </si>
  <si>
    <t>Black or African-American</t>
  </si>
  <si>
    <t>American Indian or Alaska Native</t>
  </si>
  <si>
    <t>Pacific Islander</t>
  </si>
  <si>
    <t>Total</t>
  </si>
  <si>
    <t>Other</t>
  </si>
  <si>
    <t>White or
Caucasian</t>
  </si>
  <si>
    <t>Count</t>
  </si>
  <si>
    <t>Yes</t>
  </si>
  <si>
    <t>No</t>
  </si>
  <si>
    <t>COUNT</t>
  </si>
  <si>
    <t>PERCENT</t>
  </si>
  <si>
    <t>PERC.</t>
  </si>
  <si>
    <t>CATEGORY</t>
  </si>
  <si>
    <t>n/a</t>
  </si>
  <si>
    <t>Sex at Birth</t>
  </si>
  <si>
    <t>Pacific
Islander</t>
  </si>
  <si>
    <t>Am. Indian/
Alaska Native</t>
  </si>
  <si>
    <t>Your Court</t>
  </si>
  <si>
    <t>Youngest Client:</t>
  </si>
  <si>
    <t>Oldest Client:</t>
  </si>
  <si>
    <t>Client DOB
(mm/dd/yyyy)</t>
  </si>
  <si>
    <t>Values for Drop Down Lists</t>
  </si>
  <si>
    <t>Unsuc. Dischg. 
Age in Days
(Auto-filled)</t>
  </si>
  <si>
    <t>Unsuccessful
Discharge
Date</t>
  </si>
  <si>
    <t>Reason for Non-Admission</t>
  </si>
  <si>
    <t>History of Weapon</t>
  </si>
  <si>
    <t>History of Prostitution</t>
  </si>
  <si>
    <t>History of Violent Crime</t>
  </si>
  <si>
    <t>History of Sex Offense</t>
  </si>
  <si>
    <t>No Substance Use Diagnosis</t>
  </si>
  <si>
    <t>Severe Mental Illness</t>
  </si>
  <si>
    <t>No Transportation</t>
  </si>
  <si>
    <t>Not a Resident of Juris.</t>
  </si>
  <si>
    <t>Declined to Participate</t>
  </si>
  <si>
    <t>Voluntary Withdrawal</t>
  </si>
  <si>
    <t>Admitted</t>
  </si>
  <si>
    <t>Present Gender Identity</t>
  </si>
  <si>
    <t>Transgender Male</t>
  </si>
  <si>
    <t>Transgender Female</t>
  </si>
  <si>
    <t>Gender Fluid</t>
  </si>
  <si>
    <t>Successful?</t>
  </si>
  <si>
    <t>Sex at
Birth</t>
  </si>
  <si>
    <t>Race by Ethnicity</t>
  </si>
  <si>
    <t>Ethnicity by Race</t>
  </si>
  <si>
    <t>Overall</t>
  </si>
  <si>
    <t>Successful</t>
  </si>
  <si>
    <t>Referrals</t>
  </si>
  <si>
    <t>Number of Referrals</t>
  </si>
  <si>
    <t>Date of Referral
or Admission
(mm/dd/yyyy)</t>
  </si>
  <si>
    <t>Client Age at Referral
or Admission
(Auto-filled)</t>
  </si>
  <si>
    <t>Name,
Case Number,
or ID Number</t>
  </si>
  <si>
    <t>Drug Arrests 
by Gender</t>
  </si>
  <si>
    <t>Gender Category
(Auto-filled)</t>
  </si>
  <si>
    <t>Day-to-Day Life Gender
(Pick from List)</t>
  </si>
  <si>
    <t>Sometimes M, Sometimes F</t>
  </si>
  <si>
    <t>Agender</t>
  </si>
  <si>
    <t>Sex at 
Birth</t>
  </si>
  <si>
    <t>Day-to-Day Life Gender</t>
  </si>
  <si>
    <t>Present
Gender Category</t>
  </si>
  <si>
    <t>Sometimes M, 
Sometimes F</t>
  </si>
  <si>
    <t>Transgender 
Female</t>
  </si>
  <si>
    <t>Transgender 
Male</t>
  </si>
  <si>
    <t>UCR - 
2016</t>
  </si>
  <si>
    <t>(Update percentages if/when 
new data become available)</t>
  </si>
  <si>
    <t>Age
Group</t>
  </si>
  <si>
    <t>Case</t>
  </si>
  <si>
    <t>Drug Court Admission and Completion</t>
  </si>
  <si>
    <r>
      <t xml:space="preserve">Specify If 
</t>
    </r>
    <r>
      <rPr>
        <b/>
        <i/>
        <sz val="11"/>
        <color theme="1"/>
        <rFont val="Calibri"/>
        <family val="2"/>
        <scheme val="minor"/>
      </rPr>
      <t>Other</t>
    </r>
    <r>
      <rPr>
        <b/>
        <sz val="11"/>
        <color theme="1"/>
        <rFont val="Calibri"/>
        <family val="2"/>
        <scheme val="minor"/>
      </rPr>
      <t xml:space="preserve"> Race</t>
    </r>
  </si>
  <si>
    <t>Admitted 
to Drug 
Court?</t>
  </si>
  <si>
    <t>Date of 
Admission
(mm/dd/yyyy)</t>
  </si>
  <si>
    <t>Successful  Discharge 
Date</t>
  </si>
  <si>
    <t>Your
Court</t>
  </si>
  <si>
    <t>BJS
(2014)</t>
  </si>
  <si>
    <t>Age Group</t>
  </si>
  <si>
    <t>Count -</t>
  </si>
  <si>
    <t>BJS Data</t>
  </si>
  <si>
    <t>Enter Drug Arrest data for this chart below.</t>
  </si>
  <si>
    <t>These unshaded percentages and the label in the top left corner of this table can be updated with new information when available.</t>
  </si>
  <si>
    <t>&lt;=24</t>
  </si>
  <si>
    <t>25-34</t>
  </si>
  <si>
    <t>35-59</t>
  </si>
  <si>
    <t>&gt;=60</t>
  </si>
  <si>
    <t>24 or 
Under</t>
  </si>
  <si>
    <t>25 to 34</t>
  </si>
  <si>
    <t>35 to 59</t>
  </si>
  <si>
    <t>60 or
Over</t>
  </si>
  <si>
    <t>UCR Data</t>
  </si>
  <si>
    <t>Referral Cohort</t>
  </si>
  <si>
    <t>Age Groups</t>
  </si>
  <si>
    <t>These unshaded percentages can be updated with new information when available.</t>
  </si>
  <si>
    <t>Race 1
(Pick from List)</t>
  </si>
  <si>
    <t>Other than M or F</t>
  </si>
  <si>
    <r>
      <t xml:space="preserve">Client Information </t>
    </r>
    <r>
      <rPr>
        <b/>
        <sz val="11"/>
        <color rgb="FFFF0000"/>
        <rFont val="Calibri"/>
        <family val="2"/>
      </rPr>
      <t>→</t>
    </r>
  </si>
  <si>
    <r>
      <t>Client Birthdate and Age at Referral</t>
    </r>
    <r>
      <rPr>
        <b/>
        <sz val="11"/>
        <color rgb="FFFF0000"/>
        <rFont val="Calibri"/>
        <family val="2"/>
        <scheme val="minor"/>
      </rPr>
      <t xml:space="preserve"> </t>
    </r>
    <r>
      <rPr>
        <b/>
        <sz val="11"/>
        <color rgb="FFFF0000"/>
        <rFont val="Calibri"/>
        <family val="2"/>
      </rPr>
      <t>→</t>
    </r>
  </si>
  <si>
    <r>
      <t xml:space="preserve">Client Sex and Gender </t>
    </r>
    <r>
      <rPr>
        <b/>
        <sz val="11"/>
        <color rgb="FFFF0000"/>
        <rFont val="Calibri"/>
        <family val="2"/>
      </rPr>
      <t>→</t>
    </r>
  </si>
  <si>
    <r>
      <t xml:space="preserve">Race and Ethnicity </t>
    </r>
    <r>
      <rPr>
        <b/>
        <sz val="11"/>
        <color rgb="FFFF0000"/>
        <rFont val="Calibri"/>
        <family val="2"/>
      </rPr>
      <t>→</t>
    </r>
  </si>
  <si>
    <t>Race Classification</t>
  </si>
  <si>
    <t>Hispanic or Latinx</t>
  </si>
  <si>
    <t>Not Hispanic or Latinx</t>
  </si>
  <si>
    <t>Blended Race</t>
  </si>
  <si>
    <t>RACE CLASSIFICATION</t>
  </si>
  <si>
    <t>Blended
Race</t>
  </si>
  <si>
    <t>Other 
than M or F</t>
  </si>
  <si>
    <t>Percent
by
Category</t>
  </si>
  <si>
    <t>Admission
Rate</t>
  </si>
  <si>
    <t>Graduation
Rate</t>
  </si>
  <si>
    <r>
      <t xml:space="preserve">Race 2
(if Blended Race)
</t>
    </r>
    <r>
      <rPr>
        <b/>
        <i/>
        <sz val="11"/>
        <color theme="1"/>
        <rFont val="Calibri"/>
        <family val="2"/>
        <scheme val="minor"/>
      </rPr>
      <t>Leave Blank if None</t>
    </r>
  </si>
  <si>
    <t>Race Classification
(Auto-filled)</t>
  </si>
  <si>
    <t>Age</t>
  </si>
  <si>
    <t>Average:</t>
  </si>
  <si>
    <t>Median:</t>
  </si>
  <si>
    <t>Outstanding Warrant(s)</t>
  </si>
  <si>
    <t>Admission and Graduation Rates - Page 1 of 2</t>
  </si>
  <si>
    <t>Admission and Graduation Rates - Page 2 of 2</t>
  </si>
  <si>
    <t>Reason for Unsuccessful Discharge</t>
  </si>
  <si>
    <t>No User Entries Beyond this Point</t>
  </si>
  <si>
    <t>Referred to Mental Health Court</t>
  </si>
  <si>
    <t>New Offense During Program: Drug Possession</t>
  </si>
  <si>
    <t>New Offense During Program: Not Drug Possession</t>
  </si>
  <si>
    <t>Transferred to Mental Health Court</t>
  </si>
  <si>
    <t>Charges dropped or found not guilty</t>
  </si>
  <si>
    <t>Off. Involved Weapon</t>
  </si>
  <si>
    <t>Off. Involved Drug Dist./Traf.</t>
  </si>
  <si>
    <t>Off. Involved Violent Crime</t>
  </si>
  <si>
    <t>Off. Involved Sex Offense</t>
  </si>
  <si>
    <t>Off. Involved Prostitution</t>
  </si>
  <si>
    <t>History of Drug Dist./Traf.</t>
  </si>
  <si>
    <t>Not High Crim. Risk</t>
  </si>
  <si>
    <r>
      <t xml:space="preserve">Criminogenic risk level is </t>
    </r>
    <r>
      <rPr>
        <u/>
        <sz val="11"/>
        <color theme="1"/>
        <rFont val="Calibri"/>
        <family val="2"/>
        <scheme val="minor"/>
      </rPr>
      <t>too high</t>
    </r>
  </si>
  <si>
    <t>Not motivated or ready for treatment</t>
  </si>
  <si>
    <t>Serious medical illness</t>
  </si>
  <si>
    <t>Referred to other Treatment Court (e.g,. Veterans, DWI, Hybrid, Co-Occuring Courts)</t>
  </si>
  <si>
    <t>Previous Participation in Drug Court</t>
  </si>
  <si>
    <t>Unable to pay fines, fees, costs</t>
  </si>
  <si>
    <t>Needed treatment resources not available (please specify)</t>
  </si>
  <si>
    <t>Lack of Housing Resources</t>
  </si>
  <si>
    <t>Other (please specify)</t>
  </si>
  <si>
    <t>Pending charges in another court or jurisdiction</t>
  </si>
  <si>
    <t>Referred to another Non-Custodial Rehabilitative Program</t>
  </si>
  <si>
    <r>
      <t xml:space="preserve">Specify if </t>
    </r>
    <r>
      <rPr>
        <b/>
        <i/>
        <sz val="11"/>
        <color theme="1"/>
        <rFont val="Calibri"/>
        <family val="2"/>
        <scheme val="minor"/>
      </rPr>
      <t>Other Reason</t>
    </r>
  </si>
  <si>
    <t>Primary Reason for Non-Admission</t>
  </si>
  <si>
    <t>Administrative Discharge (later determined not to be eligible; e.g., other pending charge; lives out of jurisdiction)</t>
  </si>
  <si>
    <t>Multiple Positive Drug Tests</t>
  </si>
  <si>
    <t>Failure to Comply with rules of supervision (please specify rule).</t>
  </si>
  <si>
    <t>Transferred to Another Treatment Court</t>
  </si>
  <si>
    <t>Death or serious medical illness or injury</t>
  </si>
  <si>
    <t>Poor attitude, low motivation, not ready for treatment</t>
  </si>
  <si>
    <t>Ethnicity
(Pick from List)</t>
  </si>
  <si>
    <t>Primary Reason for
Non-Admission
(Pick from List, If Applicable)</t>
  </si>
  <si>
    <t>Primary Reason for Unsuccessful Discharge
(Pick from List, If Applicable)</t>
  </si>
  <si>
    <t>The unshaded percentages in this table can be updated when/if new UCR data become available.  All other values and percentages are automatically calculated from information entered in the "Data Entry" tab.</t>
  </si>
  <si>
    <t>The unshaded values and labels in this table can be updated when new data become available.  All other values and percentages are automatically calculated from information entered in the "Data Entry" tab.</t>
  </si>
  <si>
    <t>Previous Participation in Other Diversion Program</t>
  </si>
  <si>
    <r>
      <t xml:space="preserve">Specify </t>
    </r>
    <r>
      <rPr>
        <b/>
        <i/>
        <sz val="11"/>
        <color theme="1"/>
        <rFont val="Calibri"/>
        <family val="2"/>
        <scheme val="minor"/>
      </rPr>
      <t>Rule</t>
    </r>
    <r>
      <rPr>
        <b/>
        <sz val="11"/>
        <color theme="1"/>
        <rFont val="Calibri"/>
        <family val="2"/>
        <scheme val="minor"/>
      </rPr>
      <t xml:space="preserve"> or </t>
    </r>
    <r>
      <rPr>
        <b/>
        <i/>
        <sz val="11"/>
        <color theme="1"/>
        <rFont val="Calibri"/>
        <family val="2"/>
        <scheme val="minor"/>
      </rPr>
      <t>Other Reason
(If Applicable)</t>
    </r>
  </si>
  <si>
    <t>Sexual Orientation</t>
  </si>
  <si>
    <t>Straight or Heterosexual</t>
  </si>
  <si>
    <t>Bisexual</t>
  </si>
  <si>
    <t>Gay or Lesbian</t>
  </si>
  <si>
    <t>Unsure</t>
  </si>
  <si>
    <t>Percent</t>
  </si>
  <si>
    <t>Sexual
Orientation</t>
  </si>
  <si>
    <t>Lack of attendance in treatment</t>
  </si>
  <si>
    <t>24 or Under</t>
  </si>
  <si>
    <t>60 or Over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</si>
</sst>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64" formatCode="m/d/yyyy;@"/>
    <numFmt numFmtId="165" formatCode="0.0%"/>
    <numFmt numFmtId="166" formatCode="??0"/>
    <numFmt numFmtId="167" formatCode="??0.0%"/>
    <numFmt numFmtId="168" formatCode="?,???,??0"/>
    <numFmt numFmtId="169" formatCode="?0."/>
    <numFmt numFmtId="170" formatCode="??0."/>
    <numFmt numFmtId="171" formatCode="??0%"/>
    <numFmt numFmtId="172" formatCode="?0"/>
  </numFmts>
  <fonts count="15" x14ac:knownFonts="1">
    <font>
      <sz val="11"/>
      <color theme="1"/>
      <name val="Calibri"/>
      <family val="2"/>
      <scheme val="minor"/>
    </font>
    <font>
      <b/>
      <sz val="11"/>
      <color theme="1"/>
      <name val="Calibri"/>
      <family val="2"/>
      <scheme val="minor"/>
    </font>
    <font>
      <b/>
      <u/>
      <sz val="11"/>
      <color theme="1"/>
      <name val="Calibri"/>
      <family val="2"/>
      <scheme val="minor"/>
    </font>
    <font>
      <b/>
      <i/>
      <sz val="11"/>
      <color theme="1"/>
      <name val="Calibri"/>
      <family val="2"/>
      <scheme val="minor"/>
    </font>
    <font>
      <b/>
      <sz val="11"/>
      <name val="Calibri"/>
      <family val="2"/>
      <scheme val="minor"/>
    </font>
    <font>
      <b/>
      <u/>
      <sz val="14"/>
      <color theme="1"/>
      <name val="Calibri"/>
      <family val="2"/>
      <scheme val="minor"/>
    </font>
    <font>
      <sz val="11"/>
      <color theme="8" tint="-0.499984740745262"/>
      <name val="Calibri"/>
      <family val="2"/>
      <scheme val="minor"/>
    </font>
    <font>
      <b/>
      <u/>
      <sz val="12"/>
      <color theme="8" tint="-0.499984740745262"/>
      <name val="Calibri"/>
      <family val="2"/>
      <scheme val="minor"/>
    </font>
    <font>
      <b/>
      <sz val="12"/>
      <color theme="8" tint="-0.499984740745262"/>
      <name val="Calibri"/>
      <family val="2"/>
      <scheme val="minor"/>
    </font>
    <font>
      <b/>
      <sz val="11"/>
      <color rgb="FFFF0000"/>
      <name val="Calibri"/>
      <family val="2"/>
    </font>
    <font>
      <b/>
      <sz val="11"/>
      <color rgb="FFFF0000"/>
      <name val="Calibri"/>
      <family val="2"/>
      <scheme val="minor"/>
    </font>
    <font>
      <b/>
      <i/>
      <sz val="12"/>
      <color theme="1"/>
      <name val="Calibri"/>
      <family val="2"/>
      <scheme val="minor"/>
    </font>
    <font>
      <sz val="11"/>
      <color rgb="FF000000"/>
      <name val="Calibri"/>
      <family val="2"/>
    </font>
    <font>
      <u/>
      <sz val="11"/>
      <color theme="1"/>
      <name val="Calibri"/>
      <family val="2"/>
      <scheme val="minor"/>
    </font>
    <font>
      <b/>
      <sz val="11"/>
      <color rgb="FF000000"/>
      <name val="Calibri"/>
      <family val="2"/>
    </font>
  </fonts>
  <fills count="7">
    <fill>
      <patternFill patternType="none"/>
    </fill>
    <fill>
      <patternFill patternType="gray125"/>
    </fill>
    <fill>
      <patternFill patternType="solid">
        <fgColor theme="0" tint="-0.14999847407452621"/>
        <bgColor indexed="64"/>
      </patternFill>
    </fill>
    <fill>
      <patternFill patternType="solid">
        <fgColor theme="8" tint="0.79998168889431442"/>
        <bgColor indexed="64"/>
      </patternFill>
    </fill>
    <fill>
      <patternFill patternType="solid">
        <fgColor theme="1"/>
        <bgColor indexed="64"/>
      </patternFill>
    </fill>
    <fill>
      <patternFill patternType="solid">
        <fgColor theme="0" tint="-0.34998626667073579"/>
        <bgColor indexed="64"/>
      </patternFill>
    </fill>
    <fill>
      <patternFill patternType="solid">
        <fgColor theme="0" tint="-0.14996795556505021"/>
        <bgColor indexed="64"/>
      </patternFill>
    </fill>
  </fills>
  <borders count="93">
    <border>
      <left/>
      <right/>
      <top/>
      <bottom/>
      <diagonal/>
    </border>
    <border>
      <left/>
      <right/>
      <top/>
      <bottom style="double">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style="double">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right/>
      <top style="hair">
        <color indexed="64"/>
      </top>
      <bottom style="double">
        <color indexed="64"/>
      </bottom>
      <diagonal/>
    </border>
    <border>
      <left style="thin">
        <color indexed="64"/>
      </left>
      <right/>
      <top style="hair">
        <color indexed="64"/>
      </top>
      <bottom style="hair">
        <color indexed="64"/>
      </bottom>
      <diagonal/>
    </border>
    <border>
      <left style="thin">
        <color indexed="64"/>
      </left>
      <right/>
      <top/>
      <bottom style="thin">
        <color indexed="64"/>
      </bottom>
      <diagonal/>
    </border>
    <border>
      <left/>
      <right/>
      <top style="thin">
        <color indexed="64"/>
      </top>
      <bottom/>
      <diagonal/>
    </border>
    <border>
      <left style="thin">
        <color indexed="64"/>
      </left>
      <right/>
      <top style="hair">
        <color indexed="64"/>
      </top>
      <bottom style="double">
        <color indexed="64"/>
      </bottom>
      <diagonal/>
    </border>
    <border>
      <left style="thin">
        <color indexed="64"/>
      </left>
      <right/>
      <top/>
      <bottom style="hair">
        <color indexed="64"/>
      </bottom>
      <diagonal/>
    </border>
    <border>
      <left style="thin">
        <color indexed="64"/>
      </left>
      <right/>
      <top style="thin">
        <color indexed="64"/>
      </top>
      <bottom/>
      <diagonal/>
    </border>
    <border>
      <left/>
      <right/>
      <top/>
      <bottom style="hair">
        <color indexed="64"/>
      </bottom>
      <diagonal/>
    </border>
    <border>
      <left/>
      <right style="thin">
        <color indexed="64"/>
      </right>
      <top style="double">
        <color indexed="64"/>
      </top>
      <bottom style="thin">
        <color indexed="64"/>
      </bottom>
      <diagonal/>
    </border>
    <border>
      <left/>
      <right/>
      <top style="thin">
        <color auto="1"/>
      </top>
      <bottom style="thin">
        <color auto="1"/>
      </bottom>
      <diagonal/>
    </border>
    <border>
      <left style="thin">
        <color indexed="64"/>
      </left>
      <right style="thin">
        <color indexed="64"/>
      </right>
      <top/>
      <bottom style="thin">
        <color indexed="64"/>
      </bottom>
      <diagonal/>
    </border>
    <border>
      <left style="thin">
        <color indexed="64"/>
      </left>
      <right/>
      <top style="double">
        <color indexed="64"/>
      </top>
      <bottom style="thin">
        <color indexed="64"/>
      </bottom>
      <diagonal/>
    </border>
    <border>
      <left style="hair">
        <color auto="1"/>
      </left>
      <right style="hair">
        <color auto="1"/>
      </right>
      <top style="hair">
        <color indexed="64"/>
      </top>
      <bottom style="hair">
        <color indexed="64"/>
      </bottom>
      <diagonal/>
    </border>
    <border>
      <left/>
      <right style="thin">
        <color indexed="64"/>
      </right>
      <top/>
      <bottom style="double">
        <color indexed="64"/>
      </bottom>
      <diagonal/>
    </border>
    <border>
      <left style="hair">
        <color indexed="64"/>
      </left>
      <right/>
      <top style="hair">
        <color indexed="64"/>
      </top>
      <bottom style="hair">
        <color indexed="64"/>
      </bottom>
      <diagonal/>
    </border>
    <border>
      <left/>
      <right style="hair">
        <color auto="1"/>
      </right>
      <top style="hair">
        <color indexed="64"/>
      </top>
      <bottom style="hair">
        <color indexed="64"/>
      </bottom>
      <diagonal/>
    </border>
    <border>
      <left/>
      <right style="hair">
        <color auto="1"/>
      </right>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bottom style="hair">
        <color indexed="64"/>
      </bottom>
      <diagonal/>
    </border>
    <border>
      <left style="thin">
        <color indexed="64"/>
      </left>
      <right/>
      <top/>
      <bottom/>
      <diagonal/>
    </border>
    <border>
      <left/>
      <right style="hair">
        <color indexed="64"/>
      </right>
      <top/>
      <bottom style="thin">
        <color indexed="64"/>
      </bottom>
      <diagonal/>
    </border>
    <border>
      <left style="thin">
        <color indexed="64"/>
      </left>
      <right/>
      <top style="hair">
        <color auto="1"/>
      </top>
      <bottom/>
      <diagonal/>
    </border>
    <border>
      <left/>
      <right style="hair">
        <color auto="1"/>
      </right>
      <top style="thin">
        <color auto="1"/>
      </top>
      <bottom/>
      <diagonal/>
    </border>
    <border>
      <left/>
      <right style="thin">
        <color indexed="64"/>
      </right>
      <top style="hair">
        <color indexed="64"/>
      </top>
      <bottom style="double">
        <color indexed="64"/>
      </bottom>
      <diagonal/>
    </border>
    <border>
      <left style="thin">
        <color indexed="64"/>
      </left>
      <right style="hair">
        <color auto="1"/>
      </right>
      <top style="hair">
        <color indexed="64"/>
      </top>
      <bottom style="hair">
        <color indexed="64"/>
      </bottom>
      <diagonal/>
    </border>
    <border>
      <left style="thin">
        <color indexed="64"/>
      </left>
      <right/>
      <top style="thin">
        <color indexed="64"/>
      </top>
      <bottom style="thin">
        <color indexed="64"/>
      </bottom>
      <diagonal/>
    </border>
    <border>
      <left style="thin">
        <color indexed="64"/>
      </left>
      <right/>
      <top style="thin">
        <color auto="1"/>
      </top>
      <bottom style="hair">
        <color indexed="64"/>
      </bottom>
      <diagonal/>
    </border>
    <border>
      <left style="thin">
        <color indexed="64"/>
      </left>
      <right style="hair">
        <color auto="1"/>
      </right>
      <top style="thin">
        <color auto="1"/>
      </top>
      <bottom style="hair">
        <color indexed="64"/>
      </bottom>
      <diagonal/>
    </border>
    <border>
      <left style="hair">
        <color auto="1"/>
      </left>
      <right style="hair">
        <color auto="1"/>
      </right>
      <top style="thin">
        <color indexed="64"/>
      </top>
      <bottom style="hair">
        <color indexed="64"/>
      </bottom>
      <diagonal/>
    </border>
    <border>
      <left/>
      <right/>
      <top style="thin">
        <color auto="1"/>
      </top>
      <bottom style="double">
        <color auto="1"/>
      </bottom>
      <diagonal/>
    </border>
    <border>
      <left/>
      <right/>
      <top/>
      <bottom style="medium">
        <color indexed="64"/>
      </bottom>
      <diagonal/>
    </border>
    <border>
      <left style="thin">
        <color indexed="64"/>
      </left>
      <right style="hair">
        <color indexed="64"/>
      </right>
      <top/>
      <bottom/>
      <diagonal/>
    </border>
    <border>
      <left style="thin">
        <color indexed="64"/>
      </left>
      <right style="hair">
        <color indexed="64"/>
      </right>
      <top/>
      <bottom style="double">
        <color indexed="64"/>
      </bottom>
      <diagonal/>
    </border>
    <border>
      <left style="thin">
        <color indexed="64"/>
      </left>
      <right style="hair">
        <color indexed="64"/>
      </right>
      <top style="double">
        <color indexed="64"/>
      </top>
      <bottom style="thin">
        <color indexed="64"/>
      </bottom>
      <diagonal/>
    </border>
    <border>
      <left/>
      <right/>
      <top style="double">
        <color indexed="64"/>
      </top>
      <bottom style="thin">
        <color indexed="64"/>
      </bottom>
      <diagonal/>
    </border>
    <border>
      <left style="hair">
        <color indexed="64"/>
      </left>
      <right style="thin">
        <color indexed="64"/>
      </right>
      <top style="hair">
        <color indexed="64"/>
      </top>
      <bottom style="double">
        <color indexed="64"/>
      </bottom>
      <diagonal/>
    </border>
    <border>
      <left style="hair">
        <color auto="1"/>
      </left>
      <right style="thin">
        <color auto="1"/>
      </right>
      <top/>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double">
        <color indexed="64"/>
      </bottom>
      <diagonal/>
    </border>
    <border>
      <left style="hair">
        <color indexed="64"/>
      </left>
      <right style="hair">
        <color indexed="64"/>
      </right>
      <top style="double">
        <color indexed="64"/>
      </top>
      <bottom style="thin">
        <color indexed="64"/>
      </bottom>
      <diagonal/>
    </border>
    <border>
      <left style="hair">
        <color indexed="64"/>
      </left>
      <right style="hair">
        <color indexed="64"/>
      </right>
      <top/>
      <bottom style="double">
        <color indexed="64"/>
      </bottom>
      <diagonal/>
    </border>
    <border>
      <left style="thin">
        <color indexed="64"/>
      </left>
      <right style="thin">
        <color indexed="64"/>
      </right>
      <top style="thin">
        <color auto="1"/>
      </top>
      <bottom style="thin">
        <color indexed="64"/>
      </bottom>
      <diagonal/>
    </border>
    <border>
      <left style="thin">
        <color indexed="64"/>
      </left>
      <right style="thin">
        <color indexed="64"/>
      </right>
      <top style="hair">
        <color indexed="64"/>
      </top>
      <bottom style="double">
        <color indexed="64"/>
      </bottom>
      <diagonal/>
    </border>
    <border>
      <left/>
      <right style="thin">
        <color indexed="64"/>
      </right>
      <top style="thin">
        <color indexed="64"/>
      </top>
      <bottom style="thin">
        <color indexed="64"/>
      </bottom>
      <diagonal/>
    </border>
    <border>
      <left style="thin">
        <color indexed="64"/>
      </left>
      <right style="hair">
        <color auto="1"/>
      </right>
      <top/>
      <bottom style="hair">
        <color indexed="64"/>
      </bottom>
      <diagonal/>
    </border>
    <border>
      <left/>
      <right style="hair">
        <color auto="1"/>
      </right>
      <top style="thin">
        <color auto="1"/>
      </top>
      <bottom style="hair">
        <color indexed="64"/>
      </bottom>
      <diagonal/>
    </border>
    <border>
      <left/>
      <right style="hair">
        <color indexed="64"/>
      </right>
      <top/>
      <bottom/>
      <diagonal/>
    </border>
    <border>
      <left/>
      <right style="hair">
        <color indexed="64"/>
      </right>
      <top style="hair">
        <color indexed="64"/>
      </top>
      <bottom style="double">
        <color indexed="64"/>
      </bottom>
      <diagonal/>
    </border>
    <border>
      <left/>
      <right style="thin">
        <color indexed="64"/>
      </right>
      <top style="hair">
        <color indexed="64"/>
      </top>
      <bottom/>
      <diagonal/>
    </border>
    <border>
      <left/>
      <right style="hair">
        <color auto="1"/>
      </right>
      <top style="thin">
        <color indexed="64"/>
      </top>
      <bottom style="thin">
        <color indexed="64"/>
      </bottom>
      <diagonal/>
    </border>
    <border>
      <left style="thin">
        <color indexed="64"/>
      </left>
      <right style="thin">
        <color indexed="64"/>
      </right>
      <top style="hair">
        <color indexed="64"/>
      </top>
      <bottom/>
      <diagonal/>
    </border>
    <border>
      <left/>
      <right/>
      <top style="hair">
        <color indexed="64"/>
      </top>
      <bottom/>
      <diagonal/>
    </border>
    <border>
      <left/>
      <right style="hair">
        <color auto="1"/>
      </right>
      <top style="double">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hair">
        <color indexed="64"/>
      </top>
      <bottom style="hair">
        <color indexed="64"/>
      </bottom>
      <diagonal/>
    </border>
    <border>
      <left style="medium">
        <color indexed="64"/>
      </left>
      <right/>
      <top/>
      <bottom style="thin">
        <color indexed="64"/>
      </bottom>
      <diagonal/>
    </border>
    <border>
      <left style="medium">
        <color indexed="64"/>
      </left>
      <right style="hair">
        <color auto="1"/>
      </right>
      <top style="hair">
        <color indexed="64"/>
      </top>
      <bottom style="hair">
        <color indexed="64"/>
      </bottom>
      <diagonal/>
    </border>
    <border>
      <left/>
      <right style="medium">
        <color indexed="64"/>
      </right>
      <top style="medium">
        <color indexed="64"/>
      </top>
      <bottom style="medium">
        <color indexed="64"/>
      </bottom>
      <diagonal/>
    </border>
    <border>
      <left/>
      <right style="medium">
        <color indexed="64"/>
      </right>
      <top/>
      <bottom/>
      <diagonal/>
    </border>
    <border>
      <left/>
      <right style="medium">
        <color indexed="64"/>
      </right>
      <top/>
      <bottom style="double">
        <color indexed="64"/>
      </bottom>
      <diagonal/>
    </border>
    <border>
      <left style="medium">
        <color indexed="64"/>
      </left>
      <right style="hair">
        <color indexed="64"/>
      </right>
      <top/>
      <bottom style="hair">
        <color indexed="64"/>
      </bottom>
      <diagonal/>
    </border>
    <border>
      <left style="medium">
        <color indexed="64"/>
      </left>
      <right/>
      <top/>
      <bottom/>
      <diagonal/>
    </border>
    <border>
      <left style="medium">
        <color indexed="64"/>
      </left>
      <right/>
      <top style="thin">
        <color indexed="64"/>
      </top>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right style="hair">
        <color auto="1"/>
      </right>
      <top style="hair">
        <color indexed="64"/>
      </top>
      <bottom/>
      <diagonal/>
    </border>
    <border>
      <left style="thin">
        <color indexed="64"/>
      </left>
      <right style="medium">
        <color indexed="64"/>
      </right>
      <top style="thin">
        <color auto="1"/>
      </top>
      <bottom style="thin">
        <color indexed="64"/>
      </bottom>
      <diagonal/>
    </border>
    <border>
      <left style="thin">
        <color indexed="64"/>
      </left>
      <right style="medium">
        <color indexed="64"/>
      </right>
      <top/>
      <bottom/>
      <diagonal/>
    </border>
    <border>
      <left style="thin">
        <color indexed="64"/>
      </left>
      <right style="medium">
        <color indexed="64"/>
      </right>
      <top style="hair">
        <color indexed="64"/>
      </top>
      <bottom/>
      <diagonal/>
    </border>
    <border>
      <left style="thin">
        <color indexed="64"/>
      </left>
      <right style="medium">
        <color indexed="64"/>
      </right>
      <top/>
      <bottom style="hair">
        <color indexed="64"/>
      </bottom>
      <diagonal/>
    </border>
    <border>
      <left style="thin">
        <color indexed="64"/>
      </left>
      <right style="medium">
        <color indexed="64"/>
      </right>
      <top style="double">
        <color indexed="64"/>
      </top>
      <bottom style="thin">
        <color indexed="64"/>
      </bottom>
      <diagonal/>
    </border>
    <border>
      <left style="hair">
        <color auto="1"/>
      </left>
      <right style="thin">
        <color auto="1"/>
      </right>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top style="hair">
        <color indexed="64"/>
      </top>
      <bottom style="thin">
        <color indexed="64"/>
      </bottom>
      <diagonal/>
    </border>
    <border>
      <left style="hair">
        <color indexed="64"/>
      </left>
      <right/>
      <top style="thin">
        <color indexed="64"/>
      </top>
      <bottom style="hair">
        <color indexed="64"/>
      </bottom>
      <diagonal/>
    </border>
    <border>
      <left style="hair">
        <color indexed="64"/>
      </left>
      <right/>
      <top style="hair">
        <color indexed="64"/>
      </top>
      <bottom/>
      <diagonal/>
    </border>
    <border>
      <left style="hair">
        <color indexed="64"/>
      </left>
      <right/>
      <top/>
      <bottom style="hair">
        <color indexed="64"/>
      </bottom>
      <diagonal/>
    </border>
  </borders>
  <cellStyleXfs count="1">
    <xf numFmtId="0" fontId="0" fillId="0" borderId="0"/>
  </cellStyleXfs>
  <cellXfs count="458">
    <xf numFmtId="0" fontId="0" fillId="0" borderId="0" xfId="0"/>
    <xf numFmtId="0" fontId="0" fillId="0" borderId="0" xfId="0" applyFont="1" applyAlignment="1">
      <alignment horizontal="center"/>
    </xf>
    <xf numFmtId="164" fontId="0" fillId="0" borderId="0" xfId="0" applyNumberFormat="1" applyFont="1" applyAlignment="1">
      <alignment horizontal="center"/>
    </xf>
    <xf numFmtId="1" fontId="0" fillId="0" borderId="0" xfId="0" applyNumberFormat="1" applyFont="1" applyAlignment="1">
      <alignment horizontal="center"/>
    </xf>
    <xf numFmtId="0" fontId="0" fillId="0" borderId="0" xfId="0" applyFont="1"/>
    <xf numFmtId="0" fontId="0" fillId="0" borderId="0" xfId="0" applyFont="1" applyAlignment="1">
      <alignment horizontal="right" vertical="center"/>
    </xf>
    <xf numFmtId="164" fontId="0" fillId="0" borderId="0" xfId="0" applyNumberFormat="1" applyFont="1" applyAlignment="1">
      <alignment horizontal="right" vertical="center"/>
    </xf>
    <xf numFmtId="0" fontId="0" fillId="0" borderId="0" xfId="0" applyFont="1" applyFill="1"/>
    <xf numFmtId="0" fontId="0" fillId="0" borderId="0" xfId="0" applyFont="1" applyAlignment="1">
      <alignment horizontal="center"/>
    </xf>
    <xf numFmtId="0" fontId="0" fillId="0" borderId="0" xfId="0" applyFont="1" applyFill="1" applyAlignment="1">
      <alignment horizontal="right" vertical="center"/>
    </xf>
    <xf numFmtId="164" fontId="0" fillId="0" borderId="0" xfId="0" applyNumberFormat="1" applyFont="1" applyFill="1" applyAlignment="1">
      <alignment horizontal="right" vertical="center"/>
    </xf>
    <xf numFmtId="0" fontId="1" fillId="0" borderId="0" xfId="0" applyFont="1" applyAlignment="1">
      <alignment horizontal="center" vertical="center"/>
    </xf>
    <xf numFmtId="167" fontId="1" fillId="0" borderId="0" xfId="0" applyNumberFormat="1" applyFont="1" applyAlignment="1">
      <alignment horizontal="center" vertical="center"/>
    </xf>
    <xf numFmtId="0" fontId="1" fillId="0" borderId="0" xfId="0" applyFont="1" applyAlignment="1">
      <alignment wrapText="1"/>
    </xf>
    <xf numFmtId="0" fontId="0" fillId="0" borderId="0" xfId="0" applyFont="1" applyFill="1" applyBorder="1" applyAlignment="1">
      <alignment horizontal="center"/>
    </xf>
    <xf numFmtId="0" fontId="1" fillId="0" borderId="0" xfId="0" applyFont="1" applyBorder="1" applyAlignment="1">
      <alignment horizontal="center"/>
    </xf>
    <xf numFmtId="167" fontId="1" fillId="0" borderId="0" xfId="0" applyNumberFormat="1" applyFont="1" applyBorder="1" applyAlignment="1">
      <alignment horizontal="center" vertical="center"/>
    </xf>
    <xf numFmtId="0" fontId="0" fillId="0" borderId="0" xfId="0" applyFont="1" applyBorder="1"/>
    <xf numFmtId="0" fontId="0" fillId="0" borderId="0" xfId="0" applyBorder="1"/>
    <xf numFmtId="164" fontId="1" fillId="0" borderId="0" xfId="0" applyNumberFormat="1" applyFont="1" applyBorder="1" applyAlignment="1">
      <alignment horizontal="center"/>
    </xf>
    <xf numFmtId="166" fontId="0" fillId="0" borderId="12" xfId="0" applyNumberFormat="1" applyFont="1" applyFill="1" applyBorder="1" applyAlignment="1">
      <alignment horizontal="center"/>
    </xf>
    <xf numFmtId="0" fontId="0" fillId="0" borderId="12" xfId="0" applyFont="1" applyFill="1" applyBorder="1" applyAlignment="1">
      <alignment horizontal="center"/>
    </xf>
    <xf numFmtId="164" fontId="0" fillId="0" borderId="12" xfId="0" applyNumberFormat="1" applyFont="1" applyFill="1" applyBorder="1" applyAlignment="1">
      <alignment horizontal="center"/>
    </xf>
    <xf numFmtId="167" fontId="1" fillId="0" borderId="0" xfId="0" applyNumberFormat="1" applyFont="1" applyFill="1" applyBorder="1" applyAlignment="1">
      <alignment horizontal="center" vertical="center"/>
    </xf>
    <xf numFmtId="164" fontId="0" fillId="0" borderId="0" xfId="0" applyNumberFormat="1" applyFont="1" applyFill="1" applyAlignment="1">
      <alignment horizontal="center"/>
    </xf>
    <xf numFmtId="1" fontId="0" fillId="0" borderId="0" xfId="0" applyNumberFormat="1" applyFont="1" applyAlignment="1">
      <alignment horizontal="right" vertical="center"/>
    </xf>
    <xf numFmtId="0" fontId="1" fillId="0" borderId="0" xfId="0" applyFont="1"/>
    <xf numFmtId="0" fontId="1" fillId="0" borderId="8" xfId="0" applyFont="1" applyBorder="1"/>
    <xf numFmtId="0" fontId="0" fillId="0" borderId="8" xfId="0" applyBorder="1"/>
    <xf numFmtId="0" fontId="1" fillId="3" borderId="5" xfId="0" applyFont="1" applyFill="1" applyBorder="1" applyAlignment="1">
      <alignment horizontal="center" wrapText="1"/>
    </xf>
    <xf numFmtId="0" fontId="0" fillId="3" borderId="0" xfId="0" applyFont="1" applyFill="1" applyAlignment="1">
      <alignment horizontal="center"/>
    </xf>
    <xf numFmtId="0" fontId="1" fillId="3" borderId="0" xfId="0" applyFont="1" applyFill="1" applyBorder="1" applyAlignment="1">
      <alignment horizontal="center" wrapText="1"/>
    </xf>
    <xf numFmtId="164" fontId="1" fillId="3" borderId="0" xfId="0" applyNumberFormat="1" applyFont="1" applyFill="1" applyBorder="1" applyAlignment="1">
      <alignment horizontal="center" wrapText="1"/>
    </xf>
    <xf numFmtId="0" fontId="3" fillId="0" borderId="8" xfId="0" applyFont="1" applyBorder="1" applyAlignment="1" applyProtection="1">
      <alignment horizontal="center"/>
      <protection locked="0"/>
    </xf>
    <xf numFmtId="0" fontId="0" fillId="0" borderId="21" xfId="0" applyFont="1" applyBorder="1" applyAlignment="1" applyProtection="1">
      <alignment horizontal="center"/>
      <protection locked="0"/>
    </xf>
    <xf numFmtId="0" fontId="3" fillId="0" borderId="7" xfId="0" applyFont="1" applyBorder="1" applyAlignment="1" applyProtection="1">
      <alignment horizontal="center"/>
      <protection locked="0"/>
    </xf>
    <xf numFmtId="0" fontId="0" fillId="0" borderId="0" xfId="0" applyAlignment="1">
      <alignment horizontal="center"/>
    </xf>
    <xf numFmtId="0" fontId="1" fillId="0" borderId="0" xfId="0" applyFont="1" applyAlignment="1">
      <alignment horizontal="center"/>
    </xf>
    <xf numFmtId="166" fontId="1" fillId="0" borderId="0" xfId="0" applyNumberFormat="1" applyFont="1" applyAlignment="1">
      <alignment horizontal="center"/>
    </xf>
    <xf numFmtId="0" fontId="0" fillId="0" borderId="0" xfId="0" applyFill="1"/>
    <xf numFmtId="164" fontId="0" fillId="0" borderId="0" xfId="0" applyNumberFormat="1" applyFont="1" applyFill="1" applyBorder="1" applyAlignment="1">
      <alignment horizontal="center" vertical="center" wrapText="1"/>
    </xf>
    <xf numFmtId="166" fontId="1" fillId="0" borderId="0" xfId="0" applyNumberFormat="1" applyFont="1" applyFill="1" applyBorder="1" applyAlignment="1">
      <alignment horizontal="center" vertical="center"/>
    </xf>
    <xf numFmtId="0" fontId="0" fillId="0" borderId="0" xfId="0" applyFont="1" applyBorder="1" applyAlignment="1">
      <alignment horizontal="center"/>
    </xf>
    <xf numFmtId="0" fontId="0" fillId="2" borderId="0" xfId="0" applyFont="1" applyFill="1" applyAlignment="1">
      <alignment horizontal="center"/>
    </xf>
    <xf numFmtId="0" fontId="1" fillId="2" borderId="0" xfId="0" applyFont="1" applyFill="1" applyAlignment="1">
      <alignment horizontal="center" wrapText="1"/>
    </xf>
    <xf numFmtId="0" fontId="0" fillId="2" borderId="0" xfId="0" applyFont="1" applyFill="1" applyAlignment="1">
      <alignment horizontal="right" vertical="center"/>
    </xf>
    <xf numFmtId="0" fontId="0" fillId="0" borderId="0" xfId="0" applyAlignment="1">
      <alignment vertical="center"/>
    </xf>
    <xf numFmtId="0" fontId="1" fillId="0" borderId="0" xfId="0" applyFont="1" applyAlignment="1">
      <alignment vertical="center"/>
    </xf>
    <xf numFmtId="0" fontId="1" fillId="0" borderId="41" xfId="0" applyFont="1" applyBorder="1" applyAlignment="1">
      <alignment horizontal="center"/>
    </xf>
    <xf numFmtId="166" fontId="0" fillId="0" borderId="0" xfId="0" applyNumberFormat="1" applyAlignment="1">
      <alignment horizontal="center" vertical="center"/>
    </xf>
    <xf numFmtId="166" fontId="1" fillId="0" borderId="0" xfId="0" applyNumberFormat="1" applyFont="1" applyAlignment="1">
      <alignment horizontal="center" vertical="center"/>
    </xf>
    <xf numFmtId="0" fontId="0" fillId="0" borderId="0" xfId="0" applyFill="1" applyAlignment="1">
      <alignment horizontal="center"/>
    </xf>
    <xf numFmtId="0" fontId="0" fillId="2" borderId="0" xfId="0" applyFill="1"/>
    <xf numFmtId="166" fontId="0" fillId="0" borderId="0" xfId="0" applyNumberFormat="1" applyBorder="1" applyAlignment="1">
      <alignment horizontal="center" vertical="center"/>
    </xf>
    <xf numFmtId="0" fontId="0" fillId="2" borderId="0" xfId="0" applyFill="1" applyAlignment="1">
      <alignment vertical="center"/>
    </xf>
    <xf numFmtId="166" fontId="1" fillId="0" borderId="0" xfId="0" applyNumberFormat="1" applyFont="1" applyBorder="1" applyAlignment="1">
      <alignment horizontal="center" vertical="center"/>
    </xf>
    <xf numFmtId="166" fontId="0" fillId="2" borderId="1" xfId="0" applyNumberFormat="1" applyFill="1" applyBorder="1" applyAlignment="1">
      <alignment horizontal="center" vertical="center"/>
    </xf>
    <xf numFmtId="0" fontId="1" fillId="0" borderId="0" xfId="0" applyFont="1" applyBorder="1" applyAlignment="1">
      <alignment horizontal="left" vertical="center"/>
    </xf>
    <xf numFmtId="0" fontId="0" fillId="2" borderId="8" xfId="0" applyFill="1" applyBorder="1" applyAlignment="1">
      <alignment vertical="center"/>
    </xf>
    <xf numFmtId="166" fontId="0" fillId="2" borderId="8" xfId="0" applyNumberFormat="1" applyFill="1" applyBorder="1" applyAlignment="1">
      <alignment horizontal="center" vertical="center"/>
    </xf>
    <xf numFmtId="0" fontId="0" fillId="0" borderId="8" xfId="0" applyBorder="1" applyAlignment="1">
      <alignment vertical="center"/>
    </xf>
    <xf numFmtId="166" fontId="0" fillId="0" borderId="8" xfId="0" applyNumberFormat="1" applyBorder="1" applyAlignment="1">
      <alignment horizontal="center" vertical="center"/>
    </xf>
    <xf numFmtId="0" fontId="0" fillId="0" borderId="16" xfId="0" applyBorder="1" applyAlignment="1">
      <alignment vertical="center"/>
    </xf>
    <xf numFmtId="166" fontId="0" fillId="0" borderId="16" xfId="0" applyNumberFormat="1" applyBorder="1" applyAlignment="1">
      <alignment horizontal="center" vertical="center"/>
    </xf>
    <xf numFmtId="0" fontId="0" fillId="2" borderId="9" xfId="0" applyFill="1" applyBorder="1" applyAlignment="1">
      <alignment vertical="center"/>
    </xf>
    <xf numFmtId="0" fontId="1" fillId="0" borderId="0" xfId="0" applyFont="1" applyBorder="1" applyAlignment="1">
      <alignment horizontal="left"/>
    </xf>
    <xf numFmtId="166" fontId="0" fillId="2" borderId="9" xfId="0" applyNumberFormat="1" applyFill="1" applyBorder="1" applyAlignment="1">
      <alignment horizontal="center" vertical="center"/>
    </xf>
    <xf numFmtId="166" fontId="1" fillId="2" borderId="8" xfId="0" applyNumberFormat="1" applyFont="1" applyFill="1" applyBorder="1" applyAlignment="1">
      <alignment horizontal="center" vertical="center"/>
    </xf>
    <xf numFmtId="166" fontId="1" fillId="0" borderId="8" xfId="0" applyNumberFormat="1" applyFont="1" applyBorder="1" applyAlignment="1">
      <alignment horizontal="center" vertical="center"/>
    </xf>
    <xf numFmtId="166" fontId="1" fillId="2" borderId="1" xfId="0" applyNumberFormat="1" applyFont="1" applyFill="1" applyBorder="1" applyAlignment="1">
      <alignment horizontal="center" vertical="center"/>
    </xf>
    <xf numFmtId="0" fontId="1" fillId="0" borderId="0" xfId="0" applyFont="1" applyFill="1" applyBorder="1" applyAlignment="1">
      <alignment horizontal="left" vertical="center" wrapText="1"/>
    </xf>
    <xf numFmtId="0" fontId="1" fillId="2" borderId="8" xfId="0" applyFont="1" applyFill="1" applyBorder="1" applyAlignment="1">
      <alignment horizontal="left" vertical="center" wrapText="1"/>
    </xf>
    <xf numFmtId="0" fontId="1" fillId="0" borderId="8" xfId="0" applyFont="1" applyBorder="1" applyAlignment="1">
      <alignment horizontal="left" vertical="center"/>
    </xf>
    <xf numFmtId="0" fontId="1" fillId="2" borderId="8" xfId="0" applyFont="1" applyFill="1" applyBorder="1" applyAlignment="1">
      <alignment horizontal="left" vertical="center"/>
    </xf>
    <xf numFmtId="166" fontId="1" fillId="2" borderId="0" xfId="0" applyNumberFormat="1" applyFont="1" applyFill="1" applyAlignment="1">
      <alignment horizontal="center" vertical="center"/>
    </xf>
    <xf numFmtId="0" fontId="1" fillId="0" borderId="16" xfId="0" applyFont="1" applyBorder="1" applyAlignment="1">
      <alignment vertical="center"/>
    </xf>
    <xf numFmtId="0" fontId="1" fillId="0" borderId="16" xfId="0" applyFont="1" applyBorder="1" applyAlignment="1">
      <alignment horizontal="center" vertical="center"/>
    </xf>
    <xf numFmtId="0" fontId="1" fillId="2" borderId="1" xfId="0" applyFont="1" applyFill="1" applyBorder="1" applyAlignment="1">
      <alignment vertical="center"/>
    </xf>
    <xf numFmtId="0" fontId="1" fillId="2" borderId="1" xfId="0" applyFont="1" applyFill="1" applyBorder="1" applyAlignment="1">
      <alignment horizontal="center" vertical="center"/>
    </xf>
    <xf numFmtId="0" fontId="4" fillId="0" borderId="0" xfId="0" applyFont="1" applyAlignment="1">
      <alignment vertical="center"/>
    </xf>
    <xf numFmtId="166" fontId="4" fillId="0" borderId="0" xfId="0" applyNumberFormat="1" applyFont="1" applyAlignment="1">
      <alignment horizontal="center" vertical="center"/>
    </xf>
    <xf numFmtId="0" fontId="4" fillId="2" borderId="8" xfId="0" applyFont="1" applyFill="1" applyBorder="1" applyAlignment="1">
      <alignment vertical="center"/>
    </xf>
    <xf numFmtId="166" fontId="4" fillId="2" borderId="8" xfId="0" applyNumberFormat="1" applyFont="1" applyFill="1" applyBorder="1" applyAlignment="1">
      <alignment horizontal="center" vertical="center"/>
    </xf>
    <xf numFmtId="0" fontId="4" fillId="0" borderId="8" xfId="0" applyFont="1" applyBorder="1" applyAlignment="1">
      <alignment vertical="center"/>
    </xf>
    <xf numFmtId="166" fontId="4" fillId="0" borderId="8" xfId="0" applyNumberFormat="1" applyFont="1" applyBorder="1" applyAlignment="1">
      <alignment horizontal="center" vertical="center"/>
    </xf>
    <xf numFmtId="0" fontId="1" fillId="2" borderId="26" xfId="0" applyFont="1" applyFill="1" applyBorder="1" applyAlignment="1">
      <alignment horizontal="center"/>
    </xf>
    <xf numFmtId="0" fontId="0" fillId="4" borderId="3" xfId="0" applyFont="1" applyFill="1" applyBorder="1" applyAlignment="1">
      <alignment horizontal="center"/>
    </xf>
    <xf numFmtId="0" fontId="1" fillId="4" borderId="3" xfId="0" applyFont="1" applyFill="1" applyBorder="1" applyAlignment="1">
      <alignment horizontal="center" wrapText="1"/>
    </xf>
    <xf numFmtId="165" fontId="0" fillId="4" borderId="3" xfId="0" applyNumberFormat="1" applyFont="1" applyFill="1" applyBorder="1" applyAlignment="1">
      <alignment horizontal="center"/>
    </xf>
    <xf numFmtId="166" fontId="0" fillId="2" borderId="42" xfId="0" applyNumberFormat="1" applyFont="1" applyFill="1" applyBorder="1" applyAlignment="1">
      <alignment horizontal="center" vertical="center"/>
    </xf>
    <xf numFmtId="166" fontId="0" fillId="2" borderId="35" xfId="0" applyNumberFormat="1" applyFont="1" applyFill="1" applyBorder="1" applyAlignment="1">
      <alignment horizontal="center" vertical="center"/>
    </xf>
    <xf numFmtId="166" fontId="0" fillId="2" borderId="43" xfId="0" applyNumberFormat="1" applyFont="1" applyFill="1" applyBorder="1" applyAlignment="1">
      <alignment horizontal="center" vertical="center"/>
    </xf>
    <xf numFmtId="0" fontId="1" fillId="2" borderId="39" xfId="0" applyFont="1" applyFill="1" applyBorder="1" applyAlignment="1">
      <alignment horizontal="center"/>
    </xf>
    <xf numFmtId="164" fontId="1" fillId="2" borderId="26" xfId="0" applyNumberFormat="1" applyFont="1" applyFill="1" applyBorder="1" applyAlignment="1">
      <alignment horizontal="center"/>
    </xf>
    <xf numFmtId="164" fontId="0" fillId="0" borderId="0" xfId="0" applyNumberFormat="1" applyFont="1" applyFill="1" applyBorder="1" applyAlignment="1">
      <alignment horizontal="left" vertical="center" wrapText="1"/>
    </xf>
    <xf numFmtId="0" fontId="0" fillId="0" borderId="0" xfId="0" applyProtection="1"/>
    <xf numFmtId="0" fontId="1" fillId="0" borderId="41" xfId="0" applyFont="1" applyBorder="1" applyAlignment="1" applyProtection="1">
      <alignment vertical="center"/>
    </xf>
    <xf numFmtId="0" fontId="1" fillId="0" borderId="41" xfId="0" applyFont="1" applyBorder="1" applyAlignment="1" applyProtection="1">
      <alignment horizontal="center" vertical="center"/>
    </xf>
    <xf numFmtId="0" fontId="1" fillId="0" borderId="0" xfId="0" applyFont="1" applyAlignment="1" applyProtection="1">
      <alignment vertical="center"/>
    </xf>
    <xf numFmtId="0" fontId="0" fillId="0" borderId="0" xfId="0" applyAlignment="1" applyProtection="1">
      <alignment vertical="center"/>
    </xf>
    <xf numFmtId="166" fontId="0" fillId="0" borderId="0" xfId="0" applyNumberFormat="1" applyAlignment="1" applyProtection="1">
      <alignment horizontal="center"/>
    </xf>
    <xf numFmtId="166" fontId="0" fillId="0" borderId="0" xfId="0" applyNumberFormat="1" applyAlignment="1" applyProtection="1">
      <alignment vertical="center"/>
    </xf>
    <xf numFmtId="166" fontId="0" fillId="0" borderId="0" xfId="0" applyNumberFormat="1" applyAlignment="1" applyProtection="1">
      <alignment horizontal="center" vertical="center"/>
    </xf>
    <xf numFmtId="0" fontId="0" fillId="0" borderId="1" xfId="0" applyBorder="1" applyAlignment="1" applyProtection="1">
      <alignment vertical="center"/>
    </xf>
    <xf numFmtId="166" fontId="0" fillId="0" borderId="1" xfId="0" applyNumberFormat="1" applyBorder="1" applyAlignment="1" applyProtection="1">
      <alignment horizontal="center"/>
    </xf>
    <xf numFmtId="166" fontId="0" fillId="0" borderId="1" xfId="0" applyNumberFormat="1" applyBorder="1" applyAlignment="1" applyProtection="1">
      <alignment vertical="center"/>
    </xf>
    <xf numFmtId="166" fontId="0" fillId="0" borderId="1" xfId="0" applyNumberFormat="1" applyBorder="1" applyAlignment="1" applyProtection="1">
      <alignment horizontal="center" vertical="center"/>
    </xf>
    <xf numFmtId="0" fontId="1" fillId="0" borderId="0" xfId="0" applyFont="1" applyFill="1" applyAlignment="1" applyProtection="1">
      <alignment horizontal="left" vertical="center"/>
    </xf>
    <xf numFmtId="166" fontId="1" fillId="0" borderId="0" xfId="0" applyNumberFormat="1" applyFont="1" applyAlignment="1" applyProtection="1">
      <alignment horizontal="center" vertical="center"/>
    </xf>
    <xf numFmtId="0" fontId="0" fillId="0" borderId="0" xfId="0" applyBorder="1" applyAlignment="1" applyProtection="1">
      <alignment vertical="center"/>
    </xf>
    <xf numFmtId="0" fontId="0" fillId="0" borderId="41" xfId="0" applyBorder="1" applyAlignment="1" applyProtection="1">
      <alignment vertical="center"/>
    </xf>
    <xf numFmtId="0" fontId="0" fillId="0" borderId="18" xfId="0" applyBorder="1" applyAlignment="1" applyProtection="1">
      <alignment vertical="center"/>
    </xf>
    <xf numFmtId="0" fontId="0" fillId="0" borderId="18" xfId="0" applyBorder="1" applyProtection="1"/>
    <xf numFmtId="0" fontId="0" fillId="0" borderId="40" xfId="0" applyBorder="1" applyProtection="1"/>
    <xf numFmtId="0" fontId="0" fillId="0" borderId="0" xfId="0" applyAlignment="1" applyProtection="1">
      <alignment horizontal="center"/>
    </xf>
    <xf numFmtId="0" fontId="0" fillId="4" borderId="19" xfId="0" applyFont="1" applyFill="1" applyBorder="1" applyAlignment="1" applyProtection="1">
      <alignment horizontal="center"/>
    </xf>
    <xf numFmtId="0" fontId="0" fillId="5" borderId="0" xfId="0" applyFont="1" applyFill="1" applyAlignment="1">
      <alignment horizontal="center"/>
    </xf>
    <xf numFmtId="0" fontId="0" fillId="2" borderId="0" xfId="0" applyFont="1" applyFill="1"/>
    <xf numFmtId="0" fontId="1" fillId="2" borderId="0" xfId="0" quotePrefix="1" applyFont="1" applyFill="1" applyAlignment="1">
      <alignment horizontal="center" wrapText="1"/>
    </xf>
    <xf numFmtId="0" fontId="1" fillId="2" borderId="0" xfId="0" applyFont="1" applyFill="1"/>
    <xf numFmtId="0" fontId="1" fillId="2" borderId="0" xfId="0" applyFont="1" applyFill="1" applyAlignment="1">
      <alignment wrapText="1"/>
    </xf>
    <xf numFmtId="0" fontId="2" fillId="2" borderId="0" xfId="0" applyFont="1" applyFill="1"/>
    <xf numFmtId="0" fontId="2" fillId="2" borderId="0" xfId="0" applyFont="1" applyFill="1" applyAlignment="1">
      <alignment wrapText="1"/>
    </xf>
    <xf numFmtId="0" fontId="0" fillId="2" borderId="0" xfId="0" applyFont="1" applyFill="1" applyAlignment="1">
      <alignment horizontal="left" vertical="center"/>
    </xf>
    <xf numFmtId="0" fontId="1" fillId="2" borderId="0" xfId="0" applyFont="1" applyFill="1" applyAlignment="1">
      <alignment horizontal="center"/>
    </xf>
    <xf numFmtId="0" fontId="0" fillId="2" borderId="47" xfId="0" applyFont="1" applyFill="1" applyBorder="1" applyAlignment="1">
      <alignment horizontal="center"/>
    </xf>
    <xf numFmtId="164" fontId="1" fillId="2" borderId="5" xfId="0" applyNumberFormat="1" applyFont="1" applyFill="1" applyBorder="1" applyAlignment="1">
      <alignment horizontal="center"/>
    </xf>
    <xf numFmtId="166" fontId="1" fillId="2" borderId="44" xfId="0" applyNumberFormat="1" applyFont="1" applyFill="1" applyBorder="1" applyAlignment="1">
      <alignment horizontal="center" vertical="center" wrapText="1"/>
    </xf>
    <xf numFmtId="0" fontId="0" fillId="2" borderId="48" xfId="0" applyFont="1" applyFill="1" applyBorder="1" applyAlignment="1">
      <alignment horizontal="center" vertical="center"/>
    </xf>
    <xf numFmtId="0" fontId="0" fillId="2" borderId="49" xfId="0" applyFont="1" applyFill="1" applyBorder="1" applyAlignment="1">
      <alignment horizontal="center" vertical="center"/>
    </xf>
    <xf numFmtId="0" fontId="1" fillId="2" borderId="50" xfId="0" applyFont="1" applyFill="1" applyBorder="1" applyAlignment="1">
      <alignment horizontal="center" vertical="center"/>
    </xf>
    <xf numFmtId="0" fontId="0" fillId="2" borderId="51" xfId="0" applyFont="1" applyFill="1" applyBorder="1" applyAlignment="1">
      <alignment horizontal="center" vertical="center"/>
    </xf>
    <xf numFmtId="0" fontId="1" fillId="0" borderId="41" xfId="0" applyFont="1" applyBorder="1" applyAlignment="1" applyProtection="1">
      <alignment horizontal="center" vertical="center"/>
    </xf>
    <xf numFmtId="166" fontId="0" fillId="2" borderId="16" xfId="0" applyNumberFormat="1" applyFont="1" applyFill="1" applyBorder="1" applyAlignment="1">
      <alignment horizontal="center" vertical="center"/>
    </xf>
    <xf numFmtId="166" fontId="1" fillId="2" borderId="17" xfId="0" applyNumberFormat="1" applyFont="1" applyFill="1" applyBorder="1" applyAlignment="1">
      <alignment horizontal="center" vertical="center" wrapText="1"/>
    </xf>
    <xf numFmtId="0" fontId="1" fillId="2" borderId="4" xfId="0" applyFont="1" applyFill="1" applyBorder="1" applyAlignment="1">
      <alignment horizontal="right"/>
    </xf>
    <xf numFmtId="0" fontId="1" fillId="2" borderId="20" xfId="0" applyFont="1" applyFill="1" applyBorder="1" applyAlignment="1">
      <alignment horizontal="right"/>
    </xf>
    <xf numFmtId="0" fontId="0" fillId="0" borderId="23" xfId="0" applyFont="1" applyBorder="1" applyAlignment="1" applyProtection="1">
      <alignment horizontal="center"/>
      <protection locked="0"/>
    </xf>
    <xf numFmtId="164" fontId="0" fillId="5" borderId="2" xfId="0" applyNumberFormat="1" applyFont="1" applyFill="1" applyBorder="1" applyAlignment="1">
      <alignment horizontal="center" vertical="center" wrapText="1"/>
    </xf>
    <xf numFmtId="164" fontId="0" fillId="5" borderId="0" xfId="0" applyNumberFormat="1" applyFont="1" applyFill="1" applyBorder="1" applyAlignment="1">
      <alignment horizontal="center" vertical="center" wrapText="1"/>
    </xf>
    <xf numFmtId="1" fontId="1" fillId="2" borderId="52" xfId="0" applyNumberFormat="1" applyFont="1" applyFill="1" applyBorder="1" applyAlignment="1">
      <alignment horizontal="left"/>
    </xf>
    <xf numFmtId="0" fontId="0" fillId="2" borderId="18" xfId="0" applyFill="1" applyBorder="1"/>
    <xf numFmtId="0" fontId="0" fillId="2" borderId="54" xfId="0" applyFill="1" applyBorder="1"/>
    <xf numFmtId="0" fontId="1" fillId="2" borderId="54" xfId="0" applyFont="1" applyFill="1" applyBorder="1" applyAlignment="1">
      <alignment horizontal="center"/>
    </xf>
    <xf numFmtId="1" fontId="1" fillId="2" borderId="18" xfId="0" applyNumberFormat="1" applyFont="1" applyFill="1" applyBorder="1" applyAlignment="1">
      <alignment horizontal="center" wrapText="1"/>
    </xf>
    <xf numFmtId="166" fontId="0" fillId="2" borderId="9" xfId="0" applyNumberFormat="1" applyFont="1" applyFill="1" applyBorder="1" applyAlignment="1">
      <alignment horizontal="center" vertical="center"/>
    </xf>
    <xf numFmtId="0" fontId="1" fillId="2" borderId="52" xfId="0" applyFont="1" applyFill="1" applyBorder="1" applyAlignment="1">
      <alignment horizontal="center" wrapText="1"/>
    </xf>
    <xf numFmtId="166" fontId="0" fillId="2" borderId="3" xfId="0" applyNumberFormat="1" applyFont="1" applyFill="1" applyBorder="1" applyAlignment="1">
      <alignment horizontal="center" vertical="center" wrapText="1"/>
    </xf>
    <xf numFmtId="166" fontId="0" fillId="2" borderId="28" xfId="0" applyNumberFormat="1" applyFont="1" applyFill="1" applyBorder="1" applyAlignment="1">
      <alignment horizontal="center" vertical="center" wrapText="1"/>
    </xf>
    <xf numFmtId="166" fontId="0" fillId="2" borderId="61" xfId="0" applyNumberFormat="1" applyFont="1" applyFill="1" applyBorder="1" applyAlignment="1">
      <alignment horizontal="center" vertical="center" wrapText="1"/>
    </xf>
    <xf numFmtId="166" fontId="0" fillId="2" borderId="53" xfId="0" applyNumberFormat="1" applyFont="1" applyFill="1" applyBorder="1" applyAlignment="1">
      <alignment horizontal="center" vertical="center" wrapText="1"/>
    </xf>
    <xf numFmtId="166" fontId="0" fillId="5" borderId="3" xfId="0" applyNumberFormat="1" applyFont="1" applyFill="1" applyBorder="1" applyAlignment="1">
      <alignment horizontal="center" vertical="center"/>
    </xf>
    <xf numFmtId="0" fontId="1" fillId="2" borderId="13" xfId="0" applyFont="1" applyFill="1" applyBorder="1" applyAlignment="1">
      <alignment horizontal="left" vertical="center"/>
    </xf>
    <xf numFmtId="0" fontId="1" fillId="2" borderId="9" xfId="0" applyFont="1" applyFill="1" applyBorder="1" applyAlignment="1">
      <alignment horizontal="left" vertical="center"/>
    </xf>
    <xf numFmtId="0" fontId="1" fillId="2" borderId="34" xfId="0" applyFont="1" applyFill="1" applyBorder="1" applyAlignment="1">
      <alignment horizontal="left" vertical="center"/>
    </xf>
    <xf numFmtId="166" fontId="1" fillId="2" borderId="44" xfId="0" applyNumberFormat="1" applyFont="1" applyFill="1" applyBorder="1" applyAlignment="1">
      <alignment horizontal="center" vertical="center"/>
    </xf>
    <xf numFmtId="0" fontId="1" fillId="0" borderId="18" xfId="0" applyFont="1" applyFill="1" applyBorder="1" applyAlignment="1">
      <alignment horizontal="left" vertical="center"/>
    </xf>
    <xf numFmtId="166" fontId="1" fillId="0" borderId="18" xfId="0" applyNumberFormat="1" applyFont="1" applyFill="1" applyBorder="1" applyAlignment="1">
      <alignment horizontal="center" vertical="center"/>
    </xf>
    <xf numFmtId="167" fontId="1" fillId="0" borderId="18" xfId="0" applyNumberFormat="1" applyFont="1" applyFill="1" applyBorder="1" applyAlignment="1">
      <alignment horizontal="center" vertical="center"/>
    </xf>
    <xf numFmtId="0" fontId="0" fillId="2" borderId="33" xfId="0" applyFont="1" applyFill="1" applyBorder="1" applyAlignment="1">
      <alignment horizontal="center" vertical="center"/>
    </xf>
    <xf numFmtId="0" fontId="0" fillId="2" borderId="24" xfId="0" applyFont="1" applyFill="1" applyBorder="1" applyAlignment="1">
      <alignment horizontal="center" vertical="center"/>
    </xf>
    <xf numFmtId="0" fontId="0" fillId="2" borderId="57" xfId="0" applyFont="1" applyFill="1" applyBorder="1" applyAlignment="1">
      <alignment horizontal="center" vertical="center"/>
    </xf>
    <xf numFmtId="0" fontId="0" fillId="2" borderId="58" xfId="0" applyFont="1" applyFill="1" applyBorder="1" applyAlignment="1">
      <alignment horizontal="center" vertical="center"/>
    </xf>
    <xf numFmtId="0" fontId="0" fillId="2" borderId="63" xfId="0" applyFont="1" applyFill="1" applyBorder="1" applyAlignment="1">
      <alignment horizontal="center" vertical="center"/>
    </xf>
    <xf numFmtId="0" fontId="1" fillId="2" borderId="37" xfId="0" applyFont="1" applyFill="1" applyBorder="1" applyAlignment="1">
      <alignment horizontal="left"/>
    </xf>
    <xf numFmtId="0" fontId="1" fillId="2" borderId="14" xfId="0" applyFont="1" applyFill="1" applyBorder="1" applyAlignment="1">
      <alignment horizontal="left" vertical="center" indent="1"/>
    </xf>
    <xf numFmtId="0" fontId="1" fillId="2" borderId="4" xfId="0" applyFont="1" applyFill="1" applyBorder="1" applyAlignment="1">
      <alignment horizontal="left" vertical="center" indent="1"/>
    </xf>
    <xf numFmtId="0" fontId="1" fillId="2" borderId="20" xfId="0" applyFont="1" applyFill="1" applyBorder="1" applyAlignment="1">
      <alignment horizontal="left" vertical="center" indent="1"/>
    </xf>
    <xf numFmtId="0" fontId="0" fillId="0" borderId="65" xfId="0" applyFont="1" applyBorder="1" applyAlignment="1" applyProtection="1">
      <alignment horizontal="center"/>
      <protection locked="0"/>
    </xf>
    <xf numFmtId="0" fontId="0" fillId="0" borderId="67" xfId="0" applyFont="1" applyBorder="1" applyAlignment="1" applyProtection="1">
      <protection locked="0"/>
    </xf>
    <xf numFmtId="1" fontId="0" fillId="0" borderId="67" xfId="0" applyNumberFormat="1" applyFont="1" applyFill="1" applyBorder="1" applyAlignment="1" applyProtection="1">
      <alignment horizontal="center"/>
      <protection locked="0"/>
    </xf>
    <xf numFmtId="0" fontId="1" fillId="0" borderId="66" xfId="0" applyFont="1" applyFill="1" applyBorder="1" applyAlignment="1">
      <alignment horizontal="center"/>
    </xf>
    <xf numFmtId="0" fontId="0" fillId="0" borderId="67" xfId="0" applyFont="1" applyBorder="1" applyAlignment="1" applyProtection="1">
      <alignment horizontal="center"/>
      <protection locked="0"/>
    </xf>
    <xf numFmtId="164" fontId="1" fillId="2" borderId="38" xfId="0" applyNumberFormat="1" applyFont="1" applyFill="1" applyBorder="1" applyAlignment="1">
      <alignment horizontal="left"/>
    </xf>
    <xf numFmtId="0" fontId="1" fillId="2" borderId="44" xfId="0" applyFont="1" applyFill="1" applyBorder="1" applyAlignment="1">
      <alignment horizontal="left" vertical="center"/>
    </xf>
    <xf numFmtId="0" fontId="1" fillId="2" borderId="55" xfId="0" applyFont="1" applyFill="1" applyBorder="1" applyAlignment="1">
      <alignment horizontal="left" vertical="center"/>
    </xf>
    <xf numFmtId="0" fontId="1" fillId="2" borderId="43" xfId="0" applyFont="1" applyFill="1" applyBorder="1" applyAlignment="1">
      <alignment horizontal="left" vertical="center"/>
    </xf>
    <xf numFmtId="0" fontId="0" fillId="0" borderId="12" xfId="0" applyFont="1" applyFill="1" applyBorder="1"/>
    <xf numFmtId="0" fontId="0" fillId="2" borderId="2" xfId="0" applyFont="1" applyFill="1" applyBorder="1" applyAlignment="1">
      <alignment horizontal="center"/>
    </xf>
    <xf numFmtId="0" fontId="1" fillId="2" borderId="2" xfId="0" applyFont="1" applyFill="1" applyBorder="1" applyAlignment="1">
      <alignment horizontal="center" wrapText="1"/>
    </xf>
    <xf numFmtId="169" fontId="0" fillId="2" borderId="0" xfId="0" applyNumberFormat="1" applyFont="1" applyFill="1" applyAlignment="1">
      <alignment horizontal="center"/>
    </xf>
    <xf numFmtId="0" fontId="0" fillId="0" borderId="0" xfId="0" applyFont="1" applyFill="1" applyAlignment="1">
      <alignment horizontal="center"/>
    </xf>
    <xf numFmtId="0" fontId="0" fillId="5" borderId="2" xfId="0" applyFont="1" applyFill="1" applyBorder="1" applyAlignment="1">
      <alignment horizontal="center"/>
    </xf>
    <xf numFmtId="0" fontId="0" fillId="0" borderId="24" xfId="0" applyFont="1" applyBorder="1" applyProtection="1">
      <protection locked="0"/>
    </xf>
    <xf numFmtId="170" fontId="0" fillId="3" borderId="0" xfId="0" applyNumberFormat="1" applyFont="1" applyFill="1" applyAlignment="1">
      <alignment horizontal="center"/>
    </xf>
    <xf numFmtId="170" fontId="0" fillId="3" borderId="8" xfId="0" applyNumberFormat="1" applyFont="1" applyFill="1" applyBorder="1" applyAlignment="1">
      <alignment horizontal="center"/>
    </xf>
    <xf numFmtId="164" fontId="1" fillId="2" borderId="6" xfId="0" applyNumberFormat="1" applyFont="1" applyFill="1" applyBorder="1" applyAlignment="1">
      <alignment horizontal="center" wrapText="1"/>
    </xf>
    <xf numFmtId="166" fontId="0" fillId="0" borderId="0" xfId="0" applyNumberFormat="1" applyBorder="1" applyAlignment="1" applyProtection="1">
      <alignment horizontal="center" vertical="center"/>
    </xf>
    <xf numFmtId="0" fontId="1" fillId="0" borderId="68" xfId="0" applyFont="1" applyBorder="1" applyAlignment="1" applyProtection="1">
      <alignment horizontal="center" vertical="center"/>
    </xf>
    <xf numFmtId="0" fontId="1" fillId="2" borderId="1" xfId="0" applyFont="1" applyFill="1" applyBorder="1" applyAlignment="1">
      <alignment horizontal="left" vertical="center"/>
    </xf>
    <xf numFmtId="0" fontId="0" fillId="2" borderId="1" xfId="0" applyFill="1" applyBorder="1" applyAlignment="1">
      <alignment vertical="center"/>
    </xf>
    <xf numFmtId="166" fontId="0" fillId="0" borderId="16" xfId="0" applyNumberFormat="1" applyFill="1" applyBorder="1" applyAlignment="1">
      <alignment horizontal="center" vertical="center"/>
    </xf>
    <xf numFmtId="0" fontId="5" fillId="0" borderId="0" xfId="0" applyFont="1"/>
    <xf numFmtId="164" fontId="0" fillId="0" borderId="21" xfId="0" applyNumberFormat="1" applyFont="1" applyBorder="1" applyAlignment="1" applyProtection="1">
      <alignment horizontal="center"/>
      <protection locked="0"/>
    </xf>
    <xf numFmtId="0" fontId="0" fillId="0" borderId="71" xfId="0" applyFont="1" applyBorder="1" applyAlignment="1" applyProtection="1">
      <alignment horizontal="center"/>
      <protection locked="0"/>
    </xf>
    <xf numFmtId="0" fontId="1" fillId="3" borderId="72" xfId="0" applyFont="1" applyFill="1" applyBorder="1" applyAlignment="1">
      <alignment horizontal="center" wrapText="1"/>
    </xf>
    <xf numFmtId="164" fontId="1" fillId="3" borderId="30" xfId="0" applyNumberFormat="1" applyFont="1" applyFill="1" applyBorder="1" applyAlignment="1">
      <alignment horizontal="center" wrapText="1"/>
    </xf>
    <xf numFmtId="164" fontId="1" fillId="3" borderId="12" xfId="0" applyNumberFormat="1" applyFont="1" applyFill="1" applyBorder="1" applyAlignment="1">
      <alignment horizontal="center" wrapText="1"/>
    </xf>
    <xf numFmtId="164" fontId="1" fillId="3" borderId="72" xfId="0" applyNumberFormat="1" applyFont="1" applyFill="1" applyBorder="1" applyAlignment="1">
      <alignment horizontal="center" wrapText="1"/>
    </xf>
    <xf numFmtId="0" fontId="1" fillId="3" borderId="12" xfId="0" applyFont="1" applyFill="1" applyBorder="1" applyAlignment="1">
      <alignment horizontal="center" wrapText="1"/>
    </xf>
    <xf numFmtId="0" fontId="1" fillId="3" borderId="69" xfId="0" applyFont="1" applyFill="1" applyBorder="1" applyAlignment="1">
      <alignment horizontal="center" wrapText="1"/>
    </xf>
    <xf numFmtId="0" fontId="1" fillId="3" borderId="73" xfId="0" applyFont="1" applyFill="1" applyBorder="1" applyAlignment="1">
      <alignment horizontal="center" wrapText="1"/>
    </xf>
    <xf numFmtId="164" fontId="0" fillId="0" borderId="8" xfId="0" applyNumberFormat="1" applyFont="1" applyBorder="1" applyAlignment="1" applyProtection="1">
      <alignment horizontal="right" indent="2"/>
      <protection locked="0"/>
    </xf>
    <xf numFmtId="164" fontId="1" fillId="0" borderId="5" xfId="0" applyNumberFormat="1" applyFont="1" applyFill="1" applyBorder="1" applyAlignment="1" applyProtection="1">
      <alignment horizontal="center" wrapText="1"/>
      <protection locked="0"/>
    </xf>
    <xf numFmtId="0" fontId="1" fillId="0" borderId="36" xfId="0" applyFont="1" applyFill="1" applyBorder="1" applyAlignment="1" applyProtection="1">
      <alignment horizontal="left" wrapText="1"/>
      <protection locked="0"/>
    </xf>
    <xf numFmtId="167" fontId="2" fillId="0" borderId="0" xfId="0" applyNumberFormat="1" applyFont="1" applyBorder="1" applyAlignment="1">
      <alignment horizontal="right" vertical="center"/>
    </xf>
    <xf numFmtId="168" fontId="0" fillId="0" borderId="51" xfId="0" applyNumberFormat="1" applyBorder="1" applyAlignment="1" applyProtection="1">
      <alignment horizontal="center" wrapText="1"/>
      <protection locked="0"/>
    </xf>
    <xf numFmtId="168" fontId="1" fillId="2" borderId="50" xfId="0" applyNumberFormat="1" applyFont="1" applyFill="1" applyBorder="1" applyAlignment="1" applyProtection="1">
      <alignment horizontal="center"/>
    </xf>
    <xf numFmtId="0" fontId="1" fillId="2" borderId="37" xfId="0" applyFont="1" applyFill="1" applyBorder="1" applyAlignment="1">
      <alignment horizontal="right"/>
    </xf>
    <xf numFmtId="168" fontId="0" fillId="0" borderId="39" xfId="0" applyNumberFormat="1" applyBorder="1" applyAlignment="1" applyProtection="1">
      <alignment horizontal="center" wrapText="1"/>
      <protection locked="0"/>
    </xf>
    <xf numFmtId="0" fontId="0" fillId="2" borderId="75" xfId="0" applyFont="1" applyFill="1" applyBorder="1" applyAlignment="1">
      <alignment horizontal="center"/>
    </xf>
    <xf numFmtId="0" fontId="1" fillId="2" borderId="76" xfId="0" applyFont="1" applyFill="1" applyBorder="1" applyAlignment="1">
      <alignment horizontal="left" wrapText="1"/>
    </xf>
    <xf numFmtId="164" fontId="1" fillId="2" borderId="74" xfId="0" applyNumberFormat="1" applyFont="1" applyFill="1" applyBorder="1" applyAlignment="1">
      <alignment horizontal="center"/>
    </xf>
    <xf numFmtId="166" fontId="0" fillId="2" borderId="38" xfId="0" applyNumberFormat="1" applyFont="1" applyFill="1" applyBorder="1" applyAlignment="1">
      <alignment horizontal="center"/>
    </xf>
    <xf numFmtId="166" fontId="0" fillId="2" borderId="43" xfId="0" applyNumberFormat="1" applyFont="1" applyFill="1" applyBorder="1" applyAlignment="1">
      <alignment horizontal="center"/>
    </xf>
    <xf numFmtId="166" fontId="1" fillId="2" borderId="44" xfId="0" applyNumberFormat="1" applyFont="1" applyFill="1" applyBorder="1" applyAlignment="1">
      <alignment horizontal="center"/>
    </xf>
    <xf numFmtId="0" fontId="7" fillId="0" borderId="0" xfId="0" applyFont="1" applyAlignment="1" applyProtection="1">
      <alignment vertical="center"/>
    </xf>
    <xf numFmtId="0" fontId="8" fillId="0" borderId="41" xfId="0" applyFont="1" applyBorder="1"/>
    <xf numFmtId="0" fontId="2" fillId="0" borderId="0" xfId="0" applyFont="1"/>
    <xf numFmtId="0" fontId="1" fillId="2" borderId="5" xfId="0" applyFont="1" applyFill="1" applyBorder="1" applyAlignment="1">
      <alignment horizontal="center"/>
    </xf>
    <xf numFmtId="0" fontId="0" fillId="0" borderId="12" xfId="0" applyBorder="1" applyProtection="1"/>
    <xf numFmtId="0" fontId="1" fillId="2" borderId="32" xfId="0" applyFont="1" applyFill="1" applyBorder="1" applyAlignment="1">
      <alignment horizontal="left" vertical="center" wrapText="1" shrinkToFit="1"/>
    </xf>
    <xf numFmtId="0" fontId="1" fillId="2" borderId="62" xfId="0" applyFont="1" applyFill="1" applyBorder="1" applyAlignment="1">
      <alignment horizontal="left" vertical="center" wrapText="1" shrinkToFit="1"/>
    </xf>
    <xf numFmtId="0" fontId="1" fillId="2" borderId="59" xfId="0" applyFont="1" applyFill="1" applyBorder="1" applyAlignment="1">
      <alignment horizontal="left" vertical="center" wrapText="1" shrinkToFit="1"/>
    </xf>
    <xf numFmtId="0" fontId="0" fillId="2" borderId="77" xfId="0" applyFont="1" applyFill="1" applyBorder="1" applyAlignment="1">
      <alignment horizontal="center" vertical="center"/>
    </xf>
    <xf numFmtId="171" fontId="1" fillId="2" borderId="2" xfId="0" applyNumberFormat="1" applyFont="1" applyFill="1" applyBorder="1" applyAlignment="1">
      <alignment horizontal="center" vertical="center"/>
    </xf>
    <xf numFmtId="171" fontId="1" fillId="2" borderId="7" xfId="0" applyNumberFormat="1" applyFont="1" applyFill="1" applyBorder="1" applyAlignment="1">
      <alignment horizontal="center" vertical="center"/>
    </xf>
    <xf numFmtId="171" fontId="1" fillId="2" borderId="22" xfId="0" applyNumberFormat="1" applyFont="1" applyFill="1" applyBorder="1" applyAlignment="1">
      <alignment horizontal="center" vertical="center"/>
    </xf>
    <xf numFmtId="171" fontId="1" fillId="2" borderId="17" xfId="0" applyNumberFormat="1" applyFont="1" applyFill="1" applyBorder="1" applyAlignment="1">
      <alignment horizontal="center" vertical="center"/>
    </xf>
    <xf numFmtId="171" fontId="1" fillId="0" borderId="2" xfId="0" applyNumberFormat="1" applyFont="1" applyBorder="1" applyAlignment="1" applyProtection="1">
      <alignment horizontal="center" vertical="center"/>
      <protection locked="0"/>
    </xf>
    <xf numFmtId="171" fontId="1" fillId="0" borderId="7" xfId="0" applyNumberFormat="1" applyFont="1" applyBorder="1" applyAlignment="1" applyProtection="1">
      <alignment horizontal="center" vertical="center"/>
      <protection locked="0"/>
    </xf>
    <xf numFmtId="171" fontId="1" fillId="0" borderId="59" xfId="0" applyNumberFormat="1" applyFont="1" applyBorder="1" applyAlignment="1" applyProtection="1">
      <alignment horizontal="center" vertical="center"/>
      <protection locked="0"/>
    </xf>
    <xf numFmtId="171" fontId="1" fillId="0" borderId="34" xfId="0" applyNumberFormat="1" applyFont="1" applyBorder="1" applyAlignment="1" applyProtection="1">
      <alignment horizontal="center" vertical="center"/>
      <protection locked="0"/>
    </xf>
    <xf numFmtId="166" fontId="0" fillId="5" borderId="2" xfId="0" applyNumberFormat="1" applyFont="1" applyFill="1" applyBorder="1" applyAlignment="1">
      <alignment horizontal="center" vertical="center"/>
    </xf>
    <xf numFmtId="0" fontId="1" fillId="2" borderId="78" xfId="0" applyFont="1" applyFill="1" applyBorder="1" applyAlignment="1">
      <alignment horizontal="center" wrapText="1"/>
    </xf>
    <xf numFmtId="166" fontId="0" fillId="5" borderId="80" xfId="0" applyNumberFormat="1" applyFont="1" applyFill="1" applyBorder="1" applyAlignment="1">
      <alignment horizontal="center" vertical="center" wrapText="1"/>
    </xf>
    <xf numFmtId="166" fontId="0" fillId="5" borderId="81" xfId="0" applyNumberFormat="1" applyFont="1" applyFill="1" applyBorder="1" applyAlignment="1">
      <alignment horizontal="center" vertical="center" wrapText="1"/>
    </xf>
    <xf numFmtId="0" fontId="1" fillId="2" borderId="36" xfId="0" applyFont="1" applyFill="1" applyBorder="1" applyAlignment="1">
      <alignment horizontal="center" wrapText="1"/>
    </xf>
    <xf numFmtId="171" fontId="0" fillId="2" borderId="30" xfId="0" applyNumberFormat="1" applyFont="1" applyFill="1" applyBorder="1" applyAlignment="1">
      <alignment horizontal="center" vertical="center" wrapText="1"/>
    </xf>
    <xf numFmtId="166" fontId="0" fillId="5" borderId="32" xfId="0" applyNumberFormat="1" applyFont="1" applyFill="1" applyBorder="1" applyAlignment="1">
      <alignment horizontal="center" vertical="center" wrapText="1"/>
    </xf>
    <xf numFmtId="166" fontId="0" fillId="5" borderId="14" xfId="0" applyNumberFormat="1" applyFont="1" applyFill="1" applyBorder="1" applyAlignment="1">
      <alignment horizontal="center" vertical="center" wrapText="1"/>
    </xf>
    <xf numFmtId="171" fontId="1" fillId="2" borderId="20" xfId="0" applyNumberFormat="1" applyFont="1" applyFill="1" applyBorder="1" applyAlignment="1">
      <alignment horizontal="center" vertical="center" wrapText="1"/>
    </xf>
    <xf numFmtId="166" fontId="0" fillId="2" borderId="79" xfId="0" applyNumberFormat="1" applyFont="1" applyFill="1" applyBorder="1" applyAlignment="1">
      <alignment horizontal="center" vertical="center" wrapText="1"/>
    </xf>
    <xf numFmtId="166" fontId="0" fillId="2" borderId="65" xfId="0" applyNumberFormat="1" applyFont="1" applyFill="1" applyBorder="1" applyAlignment="1">
      <alignment horizontal="center" vertical="center" wrapText="1"/>
    </xf>
    <xf numFmtId="166" fontId="1" fillId="2" borderId="82" xfId="0" applyNumberFormat="1" applyFont="1" applyFill="1" applyBorder="1" applyAlignment="1">
      <alignment horizontal="center" vertical="center" wrapText="1"/>
    </xf>
    <xf numFmtId="171" fontId="0" fillId="2" borderId="28" xfId="0" applyNumberFormat="1" applyFont="1" applyFill="1" applyBorder="1" applyAlignment="1">
      <alignment horizontal="center" vertical="center" wrapText="1"/>
    </xf>
    <xf numFmtId="171" fontId="1" fillId="2" borderId="26" xfId="0" applyNumberFormat="1" applyFont="1" applyFill="1" applyBorder="1" applyAlignment="1">
      <alignment horizontal="center" vertical="center"/>
    </xf>
    <xf numFmtId="171" fontId="1" fillId="2" borderId="27" xfId="0" applyNumberFormat="1" applyFont="1" applyFill="1" applyBorder="1" applyAlignment="1">
      <alignment horizontal="center" vertical="center"/>
    </xf>
    <xf numFmtId="171" fontId="1" fillId="2" borderId="1" xfId="0" applyNumberFormat="1" applyFont="1" applyFill="1" applyBorder="1" applyAlignment="1">
      <alignment horizontal="center" vertical="center"/>
    </xf>
    <xf numFmtId="171" fontId="1" fillId="2" borderId="45" xfId="0" applyNumberFormat="1" applyFont="1" applyFill="1" applyBorder="1" applyAlignment="1">
      <alignment horizontal="center" vertical="center"/>
    </xf>
    <xf numFmtId="171" fontId="1" fillId="0" borderId="2" xfId="0" applyNumberFormat="1" applyFont="1" applyFill="1" applyBorder="1" applyAlignment="1" applyProtection="1">
      <alignment horizontal="center" vertical="center"/>
      <protection locked="0"/>
    </xf>
    <xf numFmtId="171" fontId="1" fillId="2" borderId="34" xfId="0" applyNumberFormat="1" applyFont="1" applyFill="1" applyBorder="1" applyAlignment="1">
      <alignment horizontal="center" vertical="center"/>
    </xf>
    <xf numFmtId="171" fontId="1" fillId="0" borderId="34" xfId="0" applyNumberFormat="1" applyFont="1" applyFill="1" applyBorder="1" applyAlignment="1" applyProtection="1">
      <alignment horizontal="center" vertical="center"/>
      <protection locked="0"/>
    </xf>
    <xf numFmtId="171" fontId="0" fillId="0" borderId="69" xfId="0" applyNumberFormat="1" applyBorder="1" applyAlignment="1" applyProtection="1">
      <alignment horizontal="center"/>
    </xf>
    <xf numFmtId="171" fontId="0" fillId="0" borderId="0" xfId="0" applyNumberFormat="1" applyAlignment="1" applyProtection="1">
      <alignment horizontal="center"/>
    </xf>
    <xf numFmtId="171" fontId="0" fillId="0" borderId="70" xfId="0" applyNumberFormat="1" applyBorder="1" applyAlignment="1" applyProtection="1">
      <alignment horizontal="center"/>
    </xf>
    <xf numFmtId="171" fontId="0" fillId="0" borderId="1" xfId="0" applyNumberFormat="1" applyBorder="1" applyAlignment="1" applyProtection="1">
      <alignment horizontal="center"/>
    </xf>
    <xf numFmtId="171" fontId="1" fillId="0" borderId="69" xfId="0" applyNumberFormat="1" applyFont="1" applyBorder="1" applyAlignment="1" applyProtection="1">
      <alignment horizontal="center" vertical="center"/>
    </xf>
    <xf numFmtId="171" fontId="1" fillId="0" borderId="0" xfId="0" applyNumberFormat="1" applyFont="1" applyAlignment="1" applyProtection="1">
      <alignment horizontal="center" vertical="center"/>
    </xf>
    <xf numFmtId="171" fontId="0" fillId="0" borderId="18" xfId="0" applyNumberFormat="1" applyBorder="1" applyAlignment="1" applyProtection="1">
      <alignment horizontal="center"/>
    </xf>
    <xf numFmtId="171" fontId="1" fillId="0" borderId="0" xfId="0" applyNumberFormat="1" applyFont="1" applyAlignment="1" applyProtection="1">
      <alignment horizontal="center"/>
    </xf>
    <xf numFmtId="171" fontId="1" fillId="0" borderId="18" xfId="0" applyNumberFormat="1" applyFont="1" applyBorder="1" applyAlignment="1" applyProtection="1">
      <alignment horizontal="center"/>
    </xf>
    <xf numFmtId="171" fontId="1" fillId="0" borderId="12" xfId="0" applyNumberFormat="1" applyFont="1" applyBorder="1" applyAlignment="1" applyProtection="1">
      <alignment horizontal="center"/>
    </xf>
    <xf numFmtId="171" fontId="1" fillId="0" borderId="40" xfId="0" applyNumberFormat="1" applyFont="1" applyBorder="1" applyAlignment="1" applyProtection="1">
      <alignment horizontal="center"/>
    </xf>
    <xf numFmtId="171" fontId="0" fillId="0" borderId="0" xfId="0" applyNumberFormat="1" applyAlignment="1">
      <alignment horizontal="center" vertical="center"/>
    </xf>
    <xf numFmtId="171" fontId="0" fillId="2" borderId="8" xfId="0" applyNumberFormat="1" applyFill="1" applyBorder="1" applyAlignment="1">
      <alignment horizontal="center" vertical="center"/>
    </xf>
    <xf numFmtId="171" fontId="0" fillId="0" borderId="8" xfId="0" applyNumberFormat="1" applyBorder="1" applyAlignment="1">
      <alignment horizontal="center" vertical="center"/>
    </xf>
    <xf numFmtId="171" fontId="0" fillId="2" borderId="1" xfId="0" applyNumberFormat="1" applyFill="1" applyBorder="1" applyAlignment="1">
      <alignment horizontal="center" vertical="center"/>
    </xf>
    <xf numFmtId="171" fontId="1" fillId="0" borderId="0" xfId="0" applyNumberFormat="1" applyFont="1" applyAlignment="1">
      <alignment horizontal="center" vertical="center"/>
    </xf>
    <xf numFmtId="171" fontId="0" fillId="0" borderId="16" xfId="0" applyNumberFormat="1" applyBorder="1" applyAlignment="1">
      <alignment horizontal="center" vertical="center"/>
    </xf>
    <xf numFmtId="171" fontId="0" fillId="2" borderId="0" xfId="0" applyNumberFormat="1" applyFill="1" applyAlignment="1">
      <alignment horizontal="center" vertical="center"/>
    </xf>
    <xf numFmtId="0" fontId="4" fillId="0" borderId="1" xfId="0" applyFont="1" applyFill="1" applyBorder="1" applyAlignment="1">
      <alignment vertical="center"/>
    </xf>
    <xf numFmtId="166" fontId="4" fillId="0" borderId="1" xfId="0" applyNumberFormat="1" applyFont="1" applyFill="1" applyBorder="1" applyAlignment="1">
      <alignment horizontal="center" vertical="center"/>
    </xf>
    <xf numFmtId="166" fontId="0" fillId="0" borderId="1" xfId="0" applyNumberFormat="1" applyFill="1" applyBorder="1" applyAlignment="1">
      <alignment horizontal="center" vertical="center"/>
    </xf>
    <xf numFmtId="171" fontId="0" fillId="0" borderId="1" xfId="0" applyNumberFormat="1" applyFill="1" applyBorder="1" applyAlignment="1">
      <alignment horizontal="center" vertical="center"/>
    </xf>
    <xf numFmtId="0" fontId="0" fillId="0" borderId="1" xfId="0" applyFill="1" applyBorder="1" applyAlignment="1">
      <alignment vertical="center"/>
    </xf>
    <xf numFmtId="171" fontId="0" fillId="2" borderId="2" xfId="0" applyNumberFormat="1" applyFont="1" applyFill="1" applyBorder="1" applyAlignment="1">
      <alignment horizontal="center" vertical="center"/>
    </xf>
    <xf numFmtId="171" fontId="0" fillId="2" borderId="34" xfId="0" applyNumberFormat="1" applyFont="1" applyFill="1" applyBorder="1" applyAlignment="1">
      <alignment horizontal="center" vertical="center"/>
    </xf>
    <xf numFmtId="0" fontId="1" fillId="3" borderId="26" xfId="0" applyFont="1" applyFill="1" applyBorder="1" applyAlignment="1">
      <alignment horizontal="center" wrapText="1"/>
    </xf>
    <xf numFmtId="1" fontId="1" fillId="0" borderId="0" xfId="0" applyNumberFormat="1" applyFont="1" applyAlignment="1">
      <alignment horizontal="center"/>
    </xf>
    <xf numFmtId="1" fontId="1" fillId="0" borderId="8" xfId="0" applyNumberFormat="1" applyFont="1" applyBorder="1" applyAlignment="1">
      <alignment horizontal="center"/>
    </xf>
    <xf numFmtId="0" fontId="2" fillId="0" borderId="0" xfId="0" applyFont="1" applyBorder="1" applyAlignment="1">
      <alignment horizontal="center"/>
    </xf>
    <xf numFmtId="166" fontId="0" fillId="2" borderId="25" xfId="0" applyNumberFormat="1" applyFont="1" applyFill="1" applyBorder="1" applyAlignment="1">
      <alignment horizontal="center" vertical="center"/>
    </xf>
    <xf numFmtId="166" fontId="0" fillId="2" borderId="46" xfId="0" applyNumberFormat="1" applyFont="1" applyFill="1" applyBorder="1" applyAlignment="1">
      <alignment horizontal="center" vertical="center"/>
    </xf>
    <xf numFmtId="166" fontId="1" fillId="2" borderId="17" xfId="0" applyNumberFormat="1" applyFont="1" applyFill="1" applyBorder="1" applyAlignment="1">
      <alignment horizontal="center" vertical="center"/>
    </xf>
    <xf numFmtId="0" fontId="1" fillId="2" borderId="48" xfId="0" applyFont="1" applyFill="1" applyBorder="1" applyAlignment="1">
      <alignment horizontal="center" vertical="center"/>
    </xf>
    <xf numFmtId="169" fontId="0" fillId="2" borderId="4" xfId="0" applyNumberFormat="1" applyFont="1" applyFill="1" applyBorder="1" applyAlignment="1">
      <alignment horizontal="center"/>
    </xf>
    <xf numFmtId="0" fontId="0" fillId="2" borderId="1" xfId="0" applyFont="1" applyFill="1" applyBorder="1" applyAlignment="1">
      <alignment horizontal="center"/>
    </xf>
    <xf numFmtId="0" fontId="0" fillId="2" borderId="83" xfId="0" applyFont="1" applyFill="1" applyBorder="1" applyAlignment="1">
      <alignment horizontal="center"/>
    </xf>
    <xf numFmtId="0" fontId="1" fillId="2" borderId="5" xfId="0" applyFont="1" applyFill="1" applyBorder="1" applyAlignment="1">
      <alignment horizontal="left"/>
    </xf>
    <xf numFmtId="0" fontId="0" fillId="2" borderId="0" xfId="0" applyFont="1" applyFill="1" applyAlignment="1">
      <alignment horizontal="left"/>
    </xf>
    <xf numFmtId="166" fontId="0" fillId="2" borderId="0" xfId="0" applyNumberFormat="1" applyFont="1" applyFill="1" applyAlignment="1">
      <alignment horizontal="center"/>
    </xf>
    <xf numFmtId="0" fontId="0" fillId="2" borderId="1" xfId="0" applyFont="1" applyFill="1" applyBorder="1"/>
    <xf numFmtId="166" fontId="0" fillId="2" borderId="1" xfId="0" applyNumberFormat="1" applyFont="1" applyFill="1" applyBorder="1" applyAlignment="1">
      <alignment horizontal="center"/>
    </xf>
    <xf numFmtId="0" fontId="1" fillId="2" borderId="0" xfId="0" applyFont="1" applyFill="1" applyBorder="1"/>
    <xf numFmtId="166" fontId="1" fillId="2" borderId="0" xfId="0" applyNumberFormat="1" applyFont="1" applyFill="1" applyAlignment="1">
      <alignment horizontal="center"/>
    </xf>
    <xf numFmtId="0" fontId="0" fillId="2" borderId="1" xfId="0" applyFont="1" applyFill="1" applyBorder="1" applyAlignment="1">
      <alignment horizontal="left"/>
    </xf>
    <xf numFmtId="0" fontId="1" fillId="2" borderId="0" xfId="0" applyFont="1" applyFill="1" applyBorder="1" applyAlignment="1">
      <alignment horizontal="left"/>
    </xf>
    <xf numFmtId="167" fontId="2" fillId="0" borderId="0" xfId="0" applyNumberFormat="1" applyFont="1" applyFill="1" applyBorder="1" applyAlignment="1">
      <alignment horizontal="right" vertical="center"/>
    </xf>
    <xf numFmtId="167" fontId="0" fillId="0" borderId="0" xfId="0" applyNumberFormat="1" applyFont="1" applyFill="1" applyBorder="1" applyAlignment="1">
      <alignment horizontal="center" vertical="center"/>
    </xf>
    <xf numFmtId="167" fontId="1" fillId="0" borderId="0" xfId="0" applyNumberFormat="1" applyFont="1" applyFill="1" applyAlignment="1">
      <alignment horizontal="center" vertical="center"/>
    </xf>
    <xf numFmtId="0" fontId="6" fillId="0" borderId="0" xfId="0" applyFont="1" applyAlignment="1">
      <alignment vertical="center" wrapText="1"/>
    </xf>
    <xf numFmtId="0" fontId="12" fillId="2" borderId="0" xfId="0" applyFont="1" applyFill="1" applyBorder="1" applyAlignment="1">
      <alignment vertical="center"/>
    </xf>
    <xf numFmtId="0" fontId="12" fillId="2" borderId="0" xfId="0" applyFont="1" applyFill="1" applyAlignment="1">
      <alignment vertical="center"/>
    </xf>
    <xf numFmtId="0" fontId="12" fillId="2" borderId="1" xfId="0" applyFont="1" applyFill="1" applyBorder="1" applyAlignment="1">
      <alignment vertical="center"/>
    </xf>
    <xf numFmtId="0" fontId="0" fillId="0" borderId="0" xfId="0" applyFont="1" applyFill="1" applyBorder="1"/>
    <xf numFmtId="0" fontId="12" fillId="2" borderId="18" xfId="0" applyFont="1" applyFill="1" applyBorder="1" applyAlignment="1">
      <alignment vertical="center"/>
    </xf>
    <xf numFmtId="0" fontId="0" fillId="2" borderId="18" xfId="0" applyFont="1" applyFill="1" applyBorder="1" applyAlignment="1">
      <alignment horizontal="left" vertical="center"/>
    </xf>
    <xf numFmtId="166" fontId="0" fillId="2" borderId="18" xfId="0" applyNumberFormat="1" applyFont="1" applyFill="1" applyBorder="1" applyAlignment="1">
      <alignment horizontal="center" vertical="center"/>
    </xf>
    <xf numFmtId="0" fontId="0" fillId="2" borderId="18" xfId="0" applyFill="1" applyBorder="1" applyAlignment="1">
      <alignment vertical="center"/>
    </xf>
    <xf numFmtId="0" fontId="0" fillId="2" borderId="18" xfId="0" applyFont="1" applyFill="1" applyBorder="1" applyAlignment="1">
      <alignment vertical="center"/>
    </xf>
    <xf numFmtId="0" fontId="0" fillId="2" borderId="18" xfId="0" applyFont="1" applyFill="1" applyBorder="1"/>
    <xf numFmtId="0" fontId="1" fillId="2" borderId="18" xfId="0" applyFont="1" applyFill="1" applyBorder="1"/>
    <xf numFmtId="0" fontId="12" fillId="2" borderId="40" xfId="0" applyFont="1" applyFill="1" applyBorder="1" applyAlignment="1">
      <alignment vertical="center"/>
    </xf>
    <xf numFmtId="0" fontId="0" fillId="2" borderId="40" xfId="0" applyFont="1" applyFill="1" applyBorder="1"/>
    <xf numFmtId="166" fontId="0" fillId="2" borderId="40" xfId="0" applyNumberFormat="1" applyFont="1" applyFill="1" applyBorder="1" applyAlignment="1">
      <alignment horizontal="center" vertical="center"/>
    </xf>
    <xf numFmtId="0" fontId="2" fillId="0" borderId="0" xfId="0" applyFont="1" applyFill="1" applyBorder="1" applyAlignment="1">
      <alignment horizontal="left" vertical="center"/>
    </xf>
    <xf numFmtId="0" fontId="0" fillId="4" borderId="0" xfId="0" applyFont="1" applyFill="1" applyAlignment="1">
      <alignment horizontal="center"/>
    </xf>
    <xf numFmtId="0" fontId="0" fillId="4" borderId="2" xfId="0" applyFont="1" applyFill="1" applyBorder="1" applyAlignment="1">
      <alignment horizontal="center"/>
    </xf>
    <xf numFmtId="0" fontId="0" fillId="4" borderId="0" xfId="0" applyFont="1" applyFill="1" applyAlignment="1">
      <alignment horizontal="right" vertical="center"/>
    </xf>
    <xf numFmtId="0" fontId="0" fillId="0" borderId="8" xfId="0" applyFont="1" applyBorder="1" applyAlignment="1" applyProtection="1">
      <alignment horizontal="left"/>
      <protection locked="0"/>
    </xf>
    <xf numFmtId="0" fontId="14" fillId="2" borderId="0" xfId="0" applyFont="1" applyFill="1" applyBorder="1" applyAlignment="1">
      <alignment vertical="center"/>
    </xf>
    <xf numFmtId="0" fontId="0" fillId="2" borderId="18" xfId="0" applyFont="1" applyFill="1" applyBorder="1" applyAlignment="1">
      <alignment horizontal="left"/>
    </xf>
    <xf numFmtId="166" fontId="0" fillId="2" borderId="18" xfId="0" applyNumberFormat="1" applyFont="1" applyFill="1" applyBorder="1" applyAlignment="1">
      <alignment horizontal="center"/>
    </xf>
    <xf numFmtId="164" fontId="0" fillId="0" borderId="23" xfId="0" applyNumberFormat="1" applyFont="1" applyBorder="1" applyAlignment="1" applyProtection="1">
      <alignment horizontal="right" indent="3"/>
      <protection locked="0"/>
    </xf>
    <xf numFmtId="0" fontId="0" fillId="0" borderId="24" xfId="0" applyFont="1" applyBorder="1" applyAlignment="1" applyProtection="1">
      <alignment horizontal="left"/>
      <protection locked="0"/>
    </xf>
    <xf numFmtId="164" fontId="1" fillId="2" borderId="85" xfId="0" applyNumberFormat="1" applyFont="1" applyFill="1" applyBorder="1" applyAlignment="1">
      <alignment horizontal="center" wrapText="1"/>
    </xf>
    <xf numFmtId="166" fontId="0" fillId="2" borderId="28" xfId="0" applyNumberFormat="1" applyFont="1" applyFill="1" applyBorder="1" applyAlignment="1">
      <alignment horizontal="center"/>
    </xf>
    <xf numFmtId="0" fontId="0" fillId="0" borderId="23" xfId="0" applyFont="1" applyBorder="1" applyAlignment="1" applyProtection="1">
      <protection locked="0"/>
    </xf>
    <xf numFmtId="0" fontId="1" fillId="6" borderId="84" xfId="0" applyFont="1" applyFill="1" applyBorder="1" applyAlignment="1">
      <alignment horizontal="center" wrapText="1"/>
    </xf>
    <xf numFmtId="0" fontId="0" fillId="6" borderId="28" xfId="0" applyFont="1" applyFill="1" applyBorder="1" applyAlignment="1" applyProtection="1">
      <alignment horizontal="center"/>
    </xf>
    <xf numFmtId="164" fontId="1" fillId="2" borderId="86" xfId="0" applyNumberFormat="1" applyFont="1" applyFill="1" applyBorder="1" applyAlignment="1">
      <alignment horizontal="center" wrapText="1"/>
    </xf>
    <xf numFmtId="1" fontId="0" fillId="2" borderId="65" xfId="0" applyNumberFormat="1" applyFont="1" applyFill="1" applyBorder="1" applyAlignment="1">
      <alignment horizontal="center"/>
    </xf>
    <xf numFmtId="0" fontId="0" fillId="0" borderId="23" xfId="0" applyFont="1" applyBorder="1" applyAlignment="1" applyProtection="1">
      <alignment horizontal="left"/>
      <protection locked="0"/>
    </xf>
    <xf numFmtId="164" fontId="0" fillId="0" borderId="87" xfId="0" applyNumberFormat="1" applyFont="1" applyBorder="1" applyAlignment="1" applyProtection="1">
      <alignment horizontal="center"/>
      <protection locked="0"/>
    </xf>
    <xf numFmtId="0" fontId="1" fillId="2" borderId="5" xfId="0" applyFont="1" applyFill="1" applyBorder="1" applyAlignment="1">
      <alignment horizontal="left" vertical="center"/>
    </xf>
    <xf numFmtId="0" fontId="1" fillId="2" borderId="8" xfId="0" applyFont="1" applyFill="1" applyBorder="1" applyAlignment="1">
      <alignment horizontal="left" vertical="center"/>
    </xf>
    <xf numFmtId="0" fontId="1" fillId="0" borderId="41" xfId="0" applyFont="1" applyBorder="1" applyAlignment="1">
      <alignment horizontal="center"/>
    </xf>
    <xf numFmtId="0" fontId="1" fillId="2" borderId="15" xfId="0" applyFont="1" applyFill="1" applyBorder="1" applyAlignment="1">
      <alignment horizontal="center" wrapText="1"/>
    </xf>
    <xf numFmtId="0" fontId="0" fillId="2" borderId="10" xfId="0" applyFont="1" applyFill="1" applyBorder="1" applyAlignment="1">
      <alignment horizontal="center"/>
    </xf>
    <xf numFmtId="0" fontId="0" fillId="2" borderId="14" xfId="0" applyFont="1" applyFill="1" applyBorder="1" applyAlignment="1">
      <alignment horizontal="center"/>
    </xf>
    <xf numFmtId="0" fontId="1" fillId="3" borderId="86" xfId="0" applyFont="1" applyFill="1" applyBorder="1" applyAlignment="1">
      <alignment horizontal="center" wrapText="1"/>
    </xf>
    <xf numFmtId="0" fontId="1" fillId="0" borderId="0" xfId="0" applyFont="1" applyAlignment="1">
      <alignment horizontal="left" vertical="center"/>
    </xf>
    <xf numFmtId="9" fontId="0" fillId="0" borderId="0" xfId="0" applyNumberFormat="1" applyFont="1" applyAlignment="1">
      <alignment horizontal="left" vertical="center"/>
    </xf>
    <xf numFmtId="0" fontId="1" fillId="0" borderId="0" xfId="0" applyFont="1" applyFill="1" applyAlignment="1">
      <alignment horizontal="left" vertical="center"/>
    </xf>
    <xf numFmtId="166" fontId="2" fillId="0" borderId="0" xfId="0" applyNumberFormat="1" applyFont="1" applyFill="1" applyAlignment="1">
      <alignment horizontal="left" vertical="center"/>
    </xf>
    <xf numFmtId="166" fontId="0" fillId="4" borderId="0" xfId="0" applyNumberFormat="1" applyFont="1" applyFill="1" applyAlignment="1" applyProtection="1">
      <alignment horizontal="center"/>
    </xf>
    <xf numFmtId="0" fontId="0" fillId="4" borderId="0" xfId="0" applyFont="1" applyFill="1" applyBorder="1" applyAlignment="1" applyProtection="1">
      <alignment horizontal="center"/>
    </xf>
    <xf numFmtId="164" fontId="0" fillId="4" borderId="0" xfId="0" applyNumberFormat="1" applyFont="1" applyFill="1" applyBorder="1" applyAlignment="1" applyProtection="1">
      <alignment horizontal="right" indent="3"/>
    </xf>
    <xf numFmtId="1" fontId="0" fillId="4" borderId="0" xfId="0" applyNumberFormat="1" applyFont="1" applyFill="1" applyAlignment="1" applyProtection="1">
      <alignment horizontal="center"/>
    </xf>
    <xf numFmtId="1" fontId="0" fillId="4" borderId="0" xfId="0" applyNumberFormat="1" applyFont="1" applyFill="1" applyBorder="1" applyAlignment="1" applyProtection="1">
      <alignment horizontal="center"/>
    </xf>
    <xf numFmtId="0" fontId="0" fillId="4" borderId="5" xfId="0" applyFont="1" applyFill="1" applyBorder="1" applyAlignment="1" applyProtection="1">
      <alignment horizontal="center"/>
    </xf>
    <xf numFmtId="0" fontId="0" fillId="4" borderId="5" xfId="0" applyFont="1" applyFill="1" applyBorder="1" applyAlignment="1" applyProtection="1"/>
    <xf numFmtId="0" fontId="3" fillId="4" borderId="5" xfId="0" applyFont="1" applyFill="1" applyBorder="1" applyAlignment="1" applyProtection="1">
      <alignment horizontal="center"/>
    </xf>
    <xf numFmtId="0" fontId="0" fillId="4" borderId="5" xfId="0" applyFont="1" applyFill="1" applyBorder="1" applyProtection="1"/>
    <xf numFmtId="164" fontId="0" fillId="4" borderId="5" xfId="0" applyNumberFormat="1" applyFont="1" applyFill="1" applyBorder="1" applyAlignment="1" applyProtection="1">
      <alignment horizontal="right" indent="3"/>
    </xf>
    <xf numFmtId="166" fontId="0" fillId="4" borderId="5" xfId="0" applyNumberFormat="1" applyFont="1" applyFill="1" applyBorder="1" applyAlignment="1" applyProtection="1">
      <alignment horizontal="center"/>
    </xf>
    <xf numFmtId="164" fontId="0" fillId="4" borderId="5" xfId="0" applyNumberFormat="1" applyFont="1" applyFill="1" applyBorder="1" applyAlignment="1" applyProtection="1">
      <alignment horizontal="center"/>
    </xf>
    <xf numFmtId="0" fontId="1" fillId="2" borderId="5" xfId="0" applyFont="1" applyFill="1" applyBorder="1" applyAlignment="1">
      <alignment horizontal="center" vertical="center"/>
    </xf>
    <xf numFmtId="172" fontId="0" fillId="2" borderId="0" xfId="0" applyNumberFormat="1" applyFont="1" applyFill="1" applyAlignment="1">
      <alignment horizontal="center" vertical="center"/>
    </xf>
    <xf numFmtId="172" fontId="0" fillId="2" borderId="1" xfId="0" applyNumberFormat="1" applyFont="1" applyFill="1" applyBorder="1" applyAlignment="1">
      <alignment horizontal="center"/>
    </xf>
    <xf numFmtId="167" fontId="1" fillId="2" borderId="0" xfId="0" applyNumberFormat="1" applyFont="1" applyFill="1" applyBorder="1" applyAlignment="1">
      <alignment horizontal="left" vertical="center"/>
    </xf>
    <xf numFmtId="172" fontId="1" fillId="2" borderId="0" xfId="0" applyNumberFormat="1" applyFont="1" applyFill="1" applyAlignment="1">
      <alignment horizontal="center"/>
    </xf>
    <xf numFmtId="0" fontId="1" fillId="2" borderId="74" xfId="0" applyFont="1" applyFill="1" applyBorder="1" applyAlignment="1">
      <alignment horizontal="center"/>
    </xf>
    <xf numFmtId="166" fontId="0" fillId="0" borderId="0" xfId="0" applyNumberFormat="1" applyFont="1" applyAlignment="1">
      <alignment horizontal="center" vertical="center"/>
    </xf>
    <xf numFmtId="0" fontId="0" fillId="0" borderId="0" xfId="0" applyBorder="1" applyAlignment="1">
      <alignment vertical="center"/>
    </xf>
    <xf numFmtId="166" fontId="0" fillId="2" borderId="8" xfId="0" applyNumberFormat="1" applyFont="1" applyFill="1" applyBorder="1" applyAlignment="1">
      <alignment horizontal="center" vertical="center"/>
    </xf>
    <xf numFmtId="0" fontId="1" fillId="2" borderId="8" xfId="0" applyFont="1" applyFill="1" applyBorder="1" applyAlignment="1">
      <alignment vertical="center"/>
    </xf>
    <xf numFmtId="166" fontId="1" fillId="2" borderId="9" xfId="0" applyNumberFormat="1" applyFont="1" applyFill="1" applyBorder="1" applyAlignment="1">
      <alignment horizontal="center" vertical="center"/>
    </xf>
    <xf numFmtId="171" fontId="0" fillId="2" borderId="9" xfId="0" applyNumberFormat="1" applyFill="1" applyBorder="1" applyAlignment="1">
      <alignment horizontal="center" vertical="center"/>
    </xf>
    <xf numFmtId="169" fontId="0" fillId="2" borderId="30" xfId="0" applyNumberFormat="1" applyFont="1" applyFill="1" applyBorder="1" applyAlignment="1">
      <alignment horizontal="center"/>
    </xf>
    <xf numFmtId="0" fontId="0" fillId="2" borderId="0" xfId="0" applyFont="1" applyFill="1" applyBorder="1" applyAlignment="1">
      <alignment horizontal="center"/>
    </xf>
    <xf numFmtId="164" fontId="1" fillId="0" borderId="8" xfId="0" applyNumberFormat="1" applyFont="1" applyBorder="1" applyAlignment="1">
      <alignment horizontal="left" vertical="center"/>
    </xf>
    <xf numFmtId="0" fontId="1" fillId="2" borderId="39" xfId="0" applyFont="1" applyFill="1" applyBorder="1" applyAlignment="1">
      <alignment horizontal="center" wrapText="1"/>
    </xf>
    <xf numFmtId="164" fontId="1" fillId="2" borderId="39" xfId="0" applyNumberFormat="1" applyFont="1" applyFill="1" applyBorder="1" applyAlignment="1">
      <alignment horizontal="center"/>
    </xf>
    <xf numFmtId="164" fontId="1" fillId="2" borderId="39" xfId="0" applyNumberFormat="1" applyFont="1" applyFill="1" applyBorder="1" applyAlignment="1">
      <alignment horizontal="center" wrapText="1"/>
    </xf>
    <xf numFmtId="1" fontId="0" fillId="2" borderId="21" xfId="0" applyNumberFormat="1" applyFont="1" applyFill="1" applyBorder="1" applyAlignment="1">
      <alignment horizontal="center" vertical="center"/>
    </xf>
    <xf numFmtId="171" fontId="1" fillId="2" borderId="21" xfId="0" applyNumberFormat="1" applyFont="1" applyFill="1" applyBorder="1" applyAlignment="1">
      <alignment horizontal="center" vertical="center"/>
    </xf>
    <xf numFmtId="167" fontId="1" fillId="2" borderId="88" xfId="0" applyNumberFormat="1" applyFont="1" applyFill="1" applyBorder="1" applyAlignment="1">
      <alignment horizontal="center" vertical="center"/>
    </xf>
    <xf numFmtId="171" fontId="1" fillId="0" borderId="48" xfId="0" applyNumberFormat="1" applyFont="1" applyFill="1" applyBorder="1" applyAlignment="1" applyProtection="1">
      <alignment horizontal="center" vertical="center"/>
      <protection locked="0"/>
    </xf>
    <xf numFmtId="0" fontId="0" fillId="2" borderId="62" xfId="0" applyFill="1" applyBorder="1"/>
    <xf numFmtId="164" fontId="0" fillId="2" borderId="62" xfId="0" applyNumberFormat="1" applyFont="1" applyFill="1" applyBorder="1" applyAlignment="1">
      <alignment horizontal="center"/>
    </xf>
    <xf numFmtId="164" fontId="0" fillId="2" borderId="77" xfId="0" applyNumberFormat="1" applyFont="1" applyFill="1" applyBorder="1" applyAlignment="1">
      <alignment horizontal="center"/>
    </xf>
    <xf numFmtId="0" fontId="2" fillId="2" borderId="90" xfId="0" applyFont="1" applyFill="1" applyBorder="1" applyAlignment="1">
      <alignment horizontal="left"/>
    </xf>
    <xf numFmtId="0" fontId="1" fillId="2" borderId="56" xfId="0" applyFont="1" applyFill="1" applyBorder="1" applyAlignment="1">
      <alignment horizontal="center"/>
    </xf>
    <xf numFmtId="0" fontId="1" fillId="2" borderId="24" xfId="0" applyFont="1" applyFill="1" applyBorder="1" applyAlignment="1">
      <alignment horizontal="center" vertical="center"/>
    </xf>
    <xf numFmtId="171" fontId="1" fillId="2" borderId="24" xfId="0" applyNumberFormat="1" applyFont="1" applyFill="1" applyBorder="1" applyAlignment="1">
      <alignment horizontal="center" vertical="center"/>
    </xf>
    <xf numFmtId="167" fontId="1" fillId="2" borderId="77" xfId="0" applyNumberFormat="1" applyFont="1" applyFill="1" applyBorder="1" applyAlignment="1">
      <alignment horizontal="center" vertical="center"/>
    </xf>
    <xf numFmtId="171" fontId="1" fillId="2" borderId="25" xfId="0" applyNumberFormat="1" applyFont="1" applyFill="1" applyBorder="1" applyAlignment="1">
      <alignment horizontal="center" vertical="center"/>
    </xf>
    <xf numFmtId="0" fontId="1" fillId="2" borderId="23" xfId="0" applyFont="1" applyFill="1" applyBorder="1" applyAlignment="1">
      <alignment horizontal="left" vertical="center" indent="1"/>
    </xf>
    <xf numFmtId="0" fontId="1" fillId="2" borderId="92" xfId="0" applyFont="1" applyFill="1" applyBorder="1" applyAlignment="1">
      <alignment horizontal="left" vertical="center" indent="1"/>
    </xf>
    <xf numFmtId="0" fontId="1" fillId="2" borderId="89" xfId="0" applyFont="1" applyFill="1" applyBorder="1" applyAlignment="1">
      <alignment horizontal="left"/>
    </xf>
    <xf numFmtId="0" fontId="2" fillId="2" borderId="91" xfId="0" applyFont="1" applyFill="1" applyBorder="1" applyAlignment="1">
      <alignment horizontal="left"/>
    </xf>
    <xf numFmtId="0" fontId="0" fillId="0" borderId="65" xfId="0" applyFont="1" applyFill="1" applyBorder="1" applyAlignment="1" applyProtection="1">
      <alignment horizontal="center"/>
      <protection locked="0"/>
    </xf>
    <xf numFmtId="0" fontId="0" fillId="0" borderId="81" xfId="0" applyFont="1" applyFill="1" applyBorder="1" applyAlignment="1" applyProtection="1">
      <alignment horizontal="center"/>
      <protection locked="0"/>
    </xf>
    <xf numFmtId="0" fontId="1" fillId="0" borderId="5" xfId="0" applyFont="1" applyBorder="1" applyAlignment="1">
      <alignment horizontal="center"/>
    </xf>
    <xf numFmtId="0" fontId="1" fillId="0" borderId="66" xfId="0" applyFont="1" applyBorder="1" applyAlignment="1">
      <alignment horizontal="center"/>
    </xf>
    <xf numFmtId="0" fontId="1" fillId="0" borderId="64" xfId="0" applyFont="1" applyBorder="1" applyAlignment="1">
      <alignment horizontal="center"/>
    </xf>
    <xf numFmtId="0" fontId="11" fillId="5" borderId="30" xfId="0" applyFont="1" applyFill="1" applyBorder="1" applyAlignment="1">
      <alignment horizontal="left" vertical="center" wrapText="1" indent="1"/>
    </xf>
    <xf numFmtId="0" fontId="11" fillId="5" borderId="2" xfId="0" applyFont="1" applyFill="1" applyBorder="1" applyAlignment="1">
      <alignment horizontal="left" vertical="center" wrapText="1" indent="1"/>
    </xf>
    <xf numFmtId="164" fontId="1" fillId="0" borderId="66" xfId="0" applyNumberFormat="1" applyFont="1" applyFill="1" applyBorder="1" applyAlignment="1">
      <alignment horizontal="center"/>
    </xf>
    <xf numFmtId="164" fontId="1" fillId="0" borderId="5" xfId="0" applyNumberFormat="1" applyFont="1" applyFill="1" applyBorder="1" applyAlignment="1">
      <alignment horizontal="center"/>
    </xf>
    <xf numFmtId="164" fontId="1" fillId="0" borderId="64" xfId="0" applyNumberFormat="1" applyFont="1" applyFill="1" applyBorder="1" applyAlignment="1">
      <alignment horizontal="center"/>
    </xf>
    <xf numFmtId="0" fontId="6" fillId="0" borderId="0" xfId="0" applyFont="1" applyAlignment="1">
      <alignment horizontal="left" vertical="top" wrapText="1"/>
    </xf>
    <xf numFmtId="0" fontId="6" fillId="0" borderId="0" xfId="0" applyFont="1" applyAlignment="1">
      <alignment horizontal="center" vertical="center" wrapText="1"/>
    </xf>
    <xf numFmtId="0" fontId="1" fillId="2" borderId="11" xfId="0" applyFont="1" applyFill="1" applyBorder="1" applyAlignment="1">
      <alignment horizontal="left" vertical="center"/>
    </xf>
    <xf numFmtId="0" fontId="1" fillId="2" borderId="5" xfId="0" applyFont="1" applyFill="1" applyBorder="1" applyAlignment="1">
      <alignment horizontal="left" vertical="center"/>
    </xf>
    <xf numFmtId="0" fontId="1" fillId="2" borderId="6" xfId="0" applyFont="1" applyFill="1" applyBorder="1" applyAlignment="1">
      <alignment horizontal="left" vertical="center"/>
    </xf>
    <xf numFmtId="164" fontId="1" fillId="0" borderId="18" xfId="0" applyNumberFormat="1" applyFont="1" applyFill="1" applyBorder="1" applyAlignment="1" applyProtection="1">
      <alignment horizontal="center"/>
      <protection locked="0"/>
    </xf>
    <xf numFmtId="164" fontId="1" fillId="2" borderId="36" xfId="0" applyNumberFormat="1" applyFont="1" applyFill="1" applyBorder="1" applyAlignment="1">
      <alignment horizontal="center"/>
    </xf>
    <xf numFmtId="164" fontId="1" fillId="2" borderId="54" xfId="0" applyNumberFormat="1" applyFont="1" applyFill="1" applyBorder="1" applyAlignment="1">
      <alignment horizontal="center"/>
    </xf>
    <xf numFmtId="0" fontId="1" fillId="2" borderId="10" xfId="0" applyFont="1" applyFill="1" applyBorder="1" applyAlignment="1">
      <alignment horizontal="left" vertical="center" wrapText="1"/>
    </xf>
    <xf numFmtId="0" fontId="1" fillId="2" borderId="8" xfId="0" applyFont="1" applyFill="1" applyBorder="1" applyAlignment="1">
      <alignment horizontal="left" vertical="center" wrapText="1"/>
    </xf>
    <xf numFmtId="0" fontId="1" fillId="2" borderId="7" xfId="0" applyFont="1" applyFill="1" applyBorder="1" applyAlignment="1">
      <alignment horizontal="left" vertical="center" wrapText="1"/>
    </xf>
    <xf numFmtId="0" fontId="1" fillId="2" borderId="14" xfId="0" applyFont="1" applyFill="1" applyBorder="1" applyAlignment="1">
      <alignment horizontal="left" vertical="center" wrapText="1"/>
    </xf>
    <xf numFmtId="0" fontId="1" fillId="2" borderId="16" xfId="0" applyFont="1" applyFill="1" applyBorder="1" applyAlignment="1">
      <alignment horizontal="left" vertical="center" wrapText="1"/>
    </xf>
    <xf numFmtId="0" fontId="1" fillId="2" borderId="29" xfId="0" applyFont="1" applyFill="1" applyBorder="1" applyAlignment="1">
      <alignment horizontal="left" vertical="center" wrapText="1"/>
    </xf>
    <xf numFmtId="0" fontId="1" fillId="2" borderId="10" xfId="0" applyFont="1" applyFill="1" applyBorder="1" applyAlignment="1">
      <alignment horizontal="left" vertical="center"/>
    </xf>
    <xf numFmtId="0" fontId="1" fillId="2" borderId="8" xfId="0" applyFont="1" applyFill="1" applyBorder="1" applyAlignment="1">
      <alignment horizontal="left" vertical="center"/>
    </xf>
    <xf numFmtId="0" fontId="1" fillId="2" borderId="7" xfId="0" applyFont="1" applyFill="1" applyBorder="1" applyAlignment="1">
      <alignment horizontal="left" vertical="center"/>
    </xf>
    <xf numFmtId="0" fontId="1" fillId="2" borderId="32" xfId="0" applyFont="1" applyFill="1" applyBorder="1" applyAlignment="1">
      <alignment horizontal="left" vertical="center" wrapText="1"/>
    </xf>
    <xf numFmtId="0" fontId="1" fillId="2" borderId="62" xfId="0" applyFont="1" applyFill="1" applyBorder="1" applyAlignment="1">
      <alignment horizontal="left" vertical="center"/>
    </xf>
    <xf numFmtId="0" fontId="1" fillId="2" borderId="59" xfId="0" applyFont="1" applyFill="1" applyBorder="1" applyAlignment="1">
      <alignment horizontal="left" vertical="center"/>
    </xf>
    <xf numFmtId="0" fontId="6" fillId="0" borderId="0" xfId="0" applyFont="1" applyAlignment="1">
      <alignment horizontal="left" vertical="center" wrapText="1"/>
    </xf>
    <xf numFmtId="0" fontId="1" fillId="2" borderId="10" xfId="0" applyFont="1" applyFill="1" applyBorder="1" applyAlignment="1">
      <alignment horizontal="left" vertical="center" wrapText="1" shrinkToFit="1"/>
    </xf>
    <xf numFmtId="0" fontId="1" fillId="2" borderId="8" xfId="0" applyFont="1" applyFill="1" applyBorder="1" applyAlignment="1">
      <alignment horizontal="left" vertical="center" wrapText="1" shrinkToFit="1"/>
    </xf>
    <xf numFmtId="0" fontId="1" fillId="2" borderId="13" xfId="0" applyFont="1" applyFill="1" applyBorder="1" applyAlignment="1">
      <alignment horizontal="left" vertical="center" wrapText="1" shrinkToFit="1"/>
    </xf>
    <xf numFmtId="0" fontId="1" fillId="2" borderId="9" xfId="0" applyFont="1" applyFill="1" applyBorder="1" applyAlignment="1">
      <alignment horizontal="left" vertical="center" wrapText="1" shrinkToFit="1"/>
    </xf>
    <xf numFmtId="0" fontId="0" fillId="2" borderId="18" xfId="0" applyFont="1" applyFill="1" applyBorder="1" applyAlignment="1">
      <alignment horizontal="center" wrapText="1"/>
    </xf>
    <xf numFmtId="0" fontId="0" fillId="2" borderId="60" xfId="0" applyFont="1" applyFill="1" applyBorder="1" applyAlignment="1">
      <alignment horizontal="center" wrapText="1"/>
    </xf>
    <xf numFmtId="0" fontId="1" fillId="2" borderId="36" xfId="0" applyFont="1" applyFill="1" applyBorder="1" applyAlignment="1">
      <alignment horizontal="left"/>
    </xf>
    <xf numFmtId="0" fontId="1" fillId="2" borderId="18" xfId="0" applyFont="1" applyFill="1" applyBorder="1" applyAlignment="1">
      <alignment horizontal="left"/>
    </xf>
    <xf numFmtId="0" fontId="1" fillId="2" borderId="54" xfId="0" applyFont="1" applyFill="1" applyBorder="1" applyAlignment="1">
      <alignment horizontal="left"/>
    </xf>
    <xf numFmtId="0" fontId="1" fillId="2" borderId="30" xfId="0" applyFont="1" applyFill="1" applyBorder="1" applyAlignment="1">
      <alignment horizontal="left" vertical="center" wrapText="1" shrinkToFit="1"/>
    </xf>
    <xf numFmtId="0" fontId="1" fillId="2" borderId="0" xfId="0" applyFont="1" applyFill="1" applyBorder="1" applyAlignment="1">
      <alignment horizontal="left" vertical="center" wrapText="1" shrinkToFit="1"/>
    </xf>
    <xf numFmtId="0" fontId="1" fillId="2" borderId="14" xfId="0" applyFont="1" applyFill="1" applyBorder="1" applyAlignment="1">
      <alignment horizontal="left" vertical="center" wrapText="1" shrinkToFit="1"/>
    </xf>
    <xf numFmtId="0" fontId="1" fillId="2" borderId="16" xfId="0" applyFont="1" applyFill="1" applyBorder="1" applyAlignment="1">
      <alignment horizontal="left" vertical="center" wrapText="1" shrinkToFit="1"/>
    </xf>
    <xf numFmtId="0" fontId="1" fillId="2" borderId="29" xfId="0" applyFont="1" applyFill="1" applyBorder="1" applyAlignment="1">
      <alignment horizontal="left" vertical="center" wrapText="1" shrinkToFit="1"/>
    </xf>
    <xf numFmtId="0" fontId="1" fillId="2" borderId="7" xfId="0" applyFont="1" applyFill="1" applyBorder="1" applyAlignment="1">
      <alignment horizontal="left" vertical="center" wrapText="1" shrinkToFit="1"/>
    </xf>
    <xf numFmtId="0" fontId="1" fillId="2" borderId="34" xfId="0" applyFont="1" applyFill="1" applyBorder="1" applyAlignment="1">
      <alignment horizontal="left" vertical="center" wrapText="1" shrinkToFit="1"/>
    </xf>
    <xf numFmtId="0" fontId="1" fillId="2" borderId="37" xfId="0" applyFont="1" applyFill="1" applyBorder="1" applyAlignment="1">
      <alignment horizontal="left"/>
    </xf>
    <xf numFmtId="0" fontId="1" fillId="2" borderId="27" xfId="0" applyFont="1" applyFill="1" applyBorder="1" applyAlignment="1">
      <alignment horizontal="left"/>
    </xf>
    <xf numFmtId="0" fontId="1" fillId="2" borderId="56" xfId="0" applyFont="1" applyFill="1" applyBorder="1" applyAlignment="1">
      <alignment horizontal="left"/>
    </xf>
    <xf numFmtId="167" fontId="1" fillId="2" borderId="10" xfId="0" applyNumberFormat="1" applyFont="1" applyFill="1" applyBorder="1" applyAlignment="1">
      <alignment horizontal="left" vertical="center"/>
    </xf>
    <xf numFmtId="167" fontId="1" fillId="2" borderId="8" xfId="0" applyNumberFormat="1" applyFont="1" applyFill="1" applyBorder="1" applyAlignment="1">
      <alignment horizontal="left" vertical="center"/>
    </xf>
    <xf numFmtId="167" fontId="1" fillId="2" borderId="24" xfId="0" applyNumberFormat="1" applyFont="1" applyFill="1" applyBorder="1" applyAlignment="1">
      <alignment horizontal="left" vertical="center"/>
    </xf>
    <xf numFmtId="167" fontId="1" fillId="2" borderId="13" xfId="0" applyNumberFormat="1" applyFont="1" applyFill="1" applyBorder="1" applyAlignment="1">
      <alignment horizontal="left" vertical="center"/>
    </xf>
    <xf numFmtId="167" fontId="1" fillId="2" borderId="9" xfId="0" applyNumberFormat="1" applyFont="1" applyFill="1" applyBorder="1" applyAlignment="1">
      <alignment horizontal="left" vertical="center"/>
    </xf>
    <xf numFmtId="167" fontId="1" fillId="2" borderId="58" xfId="0" applyNumberFormat="1" applyFont="1" applyFill="1" applyBorder="1" applyAlignment="1">
      <alignment horizontal="left" vertical="center"/>
    </xf>
    <xf numFmtId="167" fontId="1" fillId="2" borderId="11" xfId="0" applyNumberFormat="1" applyFont="1" applyFill="1" applyBorder="1" applyAlignment="1">
      <alignment horizontal="left" vertical="center"/>
    </xf>
    <xf numFmtId="167" fontId="1" fillId="2" borderId="5" xfId="0" applyNumberFormat="1" applyFont="1" applyFill="1" applyBorder="1" applyAlignment="1">
      <alignment horizontal="left" vertical="center"/>
    </xf>
    <xf numFmtId="167" fontId="1" fillId="2" borderId="31" xfId="0" applyNumberFormat="1" applyFont="1" applyFill="1" applyBorder="1" applyAlignment="1">
      <alignment horizontal="left" vertical="center"/>
    </xf>
    <xf numFmtId="0" fontId="6" fillId="0" borderId="30" xfId="0" applyFont="1" applyBorder="1" applyAlignment="1">
      <alignment horizontal="left" vertical="top" wrapText="1" indent="1"/>
    </xf>
    <xf numFmtId="0" fontId="6" fillId="0" borderId="0" xfId="0" applyFont="1" applyAlignment="1">
      <alignment horizontal="left" vertical="top" wrapText="1" indent="1"/>
    </xf>
    <xf numFmtId="0" fontId="1" fillId="0" borderId="41" xfId="0" applyFont="1" applyBorder="1" applyAlignment="1" applyProtection="1">
      <alignment horizontal="center" vertical="center"/>
    </xf>
    <xf numFmtId="0" fontId="1" fillId="0" borderId="0" xfId="0" applyFont="1" applyAlignment="1">
      <alignment horizontal="center" wrapText="1"/>
    </xf>
    <xf numFmtId="0" fontId="1" fillId="0" borderId="41" xfId="0" applyFont="1" applyBorder="1" applyAlignment="1">
      <alignment horizontal="center"/>
    </xf>
    <xf numFmtId="0" fontId="1" fillId="0" borderId="0" xfId="0" applyFont="1" applyBorder="1" applyAlignment="1">
      <alignment horizontal="center"/>
    </xf>
  </cellXfs>
  <cellStyles count="1">
    <cellStyle name="Normal" xfId="0" builtinId="0"/>
  </cellStyles>
  <dxfs count="33">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ont>
        <b/>
        <i/>
      </font>
    </dxf>
    <dxf>
      <font>
        <b/>
        <i/>
      </font>
    </dxf>
    <dxf>
      <font>
        <b/>
        <i/>
      </font>
    </dxf>
    <dxf>
      <fill>
        <patternFill>
          <bgColor theme="0" tint="-0.24994659260841701"/>
        </patternFill>
      </fill>
    </dxf>
    <dxf>
      <fill>
        <patternFill>
          <bgColor rgb="FFFFFF99"/>
        </patternFill>
      </fill>
    </dxf>
    <dxf>
      <fill>
        <patternFill>
          <bgColor rgb="FFFFFF9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14996795556505021"/>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rgb="FFFF0000"/>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rgb="FFFFFF99"/>
        </patternFill>
      </fill>
    </dxf>
    <dxf>
      <fill>
        <patternFill>
          <bgColor theme="0" tint="-0.34998626667073579"/>
        </patternFill>
      </fill>
    </dxf>
    <dxf>
      <fill>
        <patternFill>
          <bgColor rgb="FFFF0000"/>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solidFill>
                <a:latin typeface="+mn-lt"/>
                <a:ea typeface="+mn-ea"/>
                <a:cs typeface="+mn-cs"/>
              </a:defRPr>
            </a:pPr>
            <a:r>
              <a:rPr lang="en-US" sz="1400">
                <a:solidFill>
                  <a:schemeClr val="tx1"/>
                </a:solidFill>
              </a:rPr>
              <a:t>Drug Arrests v. Referrals, by </a:t>
            </a:r>
            <a:r>
              <a:rPr lang="en-US" sz="1400" b="1" i="0" u="none" strike="noStrike" baseline="0">
                <a:effectLst/>
              </a:rPr>
              <a:t>Age Group</a:t>
            </a:r>
            <a:endParaRPr lang="en-US" sz="1400">
              <a:solidFill>
                <a:schemeClr val="tx1"/>
              </a:solidFill>
            </a:endParaRPr>
          </a:p>
        </c:rich>
      </c:tx>
      <c:layout>
        <c:manualLayout>
          <c:xMode val="edge"/>
          <c:yMode val="edge"/>
          <c:x val="0.2907556716163846"/>
          <c:y val="2.5220131065706336E-2"/>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solidFill>
              <a:latin typeface="+mn-lt"/>
              <a:ea typeface="+mn-ea"/>
              <a:cs typeface="+mn-cs"/>
            </a:defRPr>
          </a:pPr>
          <a:endParaRPr lang="en-US"/>
        </a:p>
      </c:txPr>
    </c:title>
    <c:autoTitleDeleted val="0"/>
    <c:plotArea>
      <c:layout/>
      <c:barChart>
        <c:barDir val="col"/>
        <c:grouping val="clustered"/>
        <c:varyColors val="0"/>
        <c:ser>
          <c:idx val="0"/>
          <c:order val="0"/>
          <c:tx>
            <c:strRef>
              <c:f>'Age Groups'!$B$36</c:f>
              <c:strCache>
                <c:ptCount val="1"/>
                <c:pt idx="0">
                  <c:v>Referrals</c:v>
                </c:pt>
              </c:strCache>
            </c:strRef>
          </c:tx>
          <c:spPr>
            <a:solidFill>
              <a:schemeClr val="accent1">
                <a:lumMod val="7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'Age Groups'!$C$36:$F$36</c:f>
              <c:strCache>
                <c:ptCount val="4"/>
                <c:pt idx="0">
                  <c:v>24 or 
Under</c:v>
                </c:pt>
                <c:pt idx="1">
                  <c:v>25 to 34</c:v>
                </c:pt>
                <c:pt idx="2">
                  <c:v>35 to 59</c:v>
                </c:pt>
                <c:pt idx="3">
                  <c:v>60 or
Over</c:v>
                </c:pt>
              </c:strCache>
            </c:strRef>
          </c:cat>
          <c:val>
            <c:numRef>
              <c:f>'Age Groups'!$C$38:$F$38</c:f>
              <c:numCache>
                <c:formatCode>??0%</c:formatCode>
                <c:ptCount val="4"/>
                <c:pt idx="0">
                  <c:v>0</c:v>
                </c:pt>
                <c:pt idx="1">
                  <c:v>0</c:v>
                </c:pt>
                <c:pt idx="2">
                  <c:v>0</c:v>
                </c:pt>
                <c:pt idx="3">
                  <c:v>0</c:v>
                </c:pt>
              </c:numCache>
            </c:numRef>
          </c:val>
          <c:extLst>
            <c:ext xmlns:c16="http://schemas.microsoft.com/office/drawing/2014/chart" uri="{C3380CC4-5D6E-409C-BE32-E72D297353CC}">
              <c16:uniqueId val="{00000000-775E-4038-8FF4-321082E52177}"/>
            </c:ext>
          </c:extLst>
        </c:ser>
        <c:ser>
          <c:idx val="1"/>
          <c:order val="1"/>
          <c:tx>
            <c:strRef>
              <c:f>'Age Groups'!$B$39</c:f>
              <c:strCache>
                <c:ptCount val="1"/>
                <c:pt idx="0">
                  <c:v>UCR Data</c:v>
                </c:pt>
              </c:strCache>
            </c:strRef>
          </c:tx>
          <c:spPr>
            <a:solidFill>
              <a:schemeClr val="bg1">
                <a:lumMod val="7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'Age Groups'!$C$36:$F$36</c:f>
              <c:strCache>
                <c:ptCount val="4"/>
                <c:pt idx="0">
                  <c:v>24 or 
Under</c:v>
                </c:pt>
                <c:pt idx="1">
                  <c:v>25 to 34</c:v>
                </c:pt>
                <c:pt idx="2">
                  <c:v>35 to 59</c:v>
                </c:pt>
                <c:pt idx="3">
                  <c:v>60 or
Over</c:v>
                </c:pt>
              </c:strCache>
            </c:strRef>
          </c:cat>
          <c:val>
            <c:numRef>
              <c:f>'Age Groups'!$C$40:$F$40</c:f>
              <c:numCache>
                <c:formatCode>??0%</c:formatCode>
                <c:ptCount val="4"/>
                <c:pt idx="0">
                  <c:v>0.33744626040671488</c:v>
                </c:pt>
                <c:pt idx="1">
                  <c:v>0.34616486966016102</c:v>
                </c:pt>
                <c:pt idx="2">
                  <c:v>0.30153029889449978</c:v>
                </c:pt>
                <c:pt idx="3">
                  <c:v>1.4858571038624266E-2</c:v>
                </c:pt>
              </c:numCache>
            </c:numRef>
          </c:val>
          <c:extLst>
            <c:ext xmlns:c16="http://schemas.microsoft.com/office/drawing/2014/chart" uri="{C3380CC4-5D6E-409C-BE32-E72D297353CC}">
              <c16:uniqueId val="{00000000-4FB1-415F-90DE-229F2FF72E73}"/>
            </c:ext>
          </c:extLst>
        </c:ser>
        <c:dLbls>
          <c:showLegendKey val="0"/>
          <c:showVal val="0"/>
          <c:showCatName val="0"/>
          <c:showSerName val="0"/>
          <c:showPercent val="0"/>
          <c:showBubbleSize val="0"/>
        </c:dLbls>
        <c:gapWidth val="115"/>
        <c:overlap val="-27"/>
        <c:axId val="153260432"/>
        <c:axId val="153258472"/>
      </c:barChart>
      <c:catAx>
        <c:axId val="1532604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ysClr val="windowText" lastClr="000000"/>
                </a:solidFill>
                <a:latin typeface="+mn-lt"/>
                <a:ea typeface="+mn-ea"/>
                <a:cs typeface="+mn-cs"/>
              </a:defRPr>
            </a:pPr>
            <a:endParaRPr lang="en-US"/>
          </a:p>
        </c:txPr>
        <c:crossAx val="153258472"/>
        <c:crosses val="autoZero"/>
        <c:auto val="1"/>
        <c:lblAlgn val="ctr"/>
        <c:lblOffset val="100"/>
        <c:noMultiLvlLbl val="0"/>
      </c:catAx>
      <c:valAx>
        <c:axId val="153258472"/>
        <c:scaling>
          <c:orientation val="minMax"/>
        </c:scaling>
        <c:delete val="1"/>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crossAx val="153260432"/>
        <c:crosses val="autoZero"/>
        <c:crossBetween val="between"/>
      </c:valAx>
      <c:spPr>
        <a:noFill/>
        <a:ln>
          <a:noFill/>
        </a:ln>
        <a:effectLst/>
      </c:spPr>
    </c:plotArea>
    <c:legend>
      <c:legendPos val="t"/>
      <c:layout>
        <c:manualLayout>
          <c:xMode val="edge"/>
          <c:yMode val="edge"/>
          <c:x val="0.80750084069657446"/>
          <c:y val="0.16673773987206822"/>
          <c:w val="0.19249915930342559"/>
          <c:h val="0.12136953030124965"/>
        </c:manualLayout>
      </c:layout>
      <c:overlay val="0"/>
      <c:spPr>
        <a:noFill/>
        <a:ln>
          <a:noFill/>
        </a:ln>
        <a:effectLst/>
      </c:spPr>
      <c:txPr>
        <a:bodyPr rot="0" spcFirstLastPara="1" vertOverflow="ellipsis" vert="horz" wrap="square" anchor="ctr" anchorCtr="1"/>
        <a:lstStyle/>
        <a:p>
          <a:pPr>
            <a:defRPr sz="1050" b="1" i="0" u="none" strike="noStrike" kern="1200" baseline="0">
              <a:solidFill>
                <a:sysClr val="windowText" lastClr="000000"/>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2861676373544389E-2"/>
          <c:y val="0.10318642461358998"/>
          <c:w val="0.9212434225672923"/>
          <c:h val="0.88350284339457563"/>
        </c:manualLayout>
      </c:layout>
      <c:barChart>
        <c:barDir val="bar"/>
        <c:grouping val="clustered"/>
        <c:varyColors val="0"/>
        <c:ser>
          <c:idx val="0"/>
          <c:order val="0"/>
          <c:tx>
            <c:strRef>
              <c:f>'Admin and Grad Rates'!$H$44:$H$45</c:f>
              <c:strCache>
                <c:ptCount val="2"/>
                <c:pt idx="0">
                  <c:v>Admission
Rate</c:v>
                </c:pt>
              </c:strCache>
            </c:strRef>
          </c:tx>
          <c:spPr>
            <a:solidFill>
              <a:srgbClr val="002060"/>
            </a:solidFill>
            <a:ln>
              <a:noFill/>
            </a:ln>
            <a:effectLst/>
          </c:spPr>
          <c:invertIfNegative val="0"/>
          <c:dLbls>
            <c:dLbl>
              <c:idx val="4"/>
              <c:layout>
                <c:manualLayout>
                  <c:x val="1.1420413990007138E-2"/>
                  <c:y val="3.853564547206165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C40E-4363-BB9C-EBF27301113F}"/>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'Admin and Grad Rates'!$C$46:$C$50</c:f>
              <c:strCache>
                <c:ptCount val="5"/>
                <c:pt idx="0">
                  <c:v>24 or Under</c:v>
                </c:pt>
                <c:pt idx="1">
                  <c:v>25 to 34</c:v>
                </c:pt>
                <c:pt idx="2">
                  <c:v>35 to 59</c:v>
                </c:pt>
                <c:pt idx="3">
                  <c:v>60 or Over</c:v>
                </c:pt>
                <c:pt idx="4">
                  <c:v>Total</c:v>
                </c:pt>
              </c:strCache>
            </c:strRef>
          </c:cat>
          <c:val>
            <c:numRef>
              <c:f>'Admin and Grad Rates'!$H$46:$H$50</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1-C40E-4363-BB9C-EBF27301113F}"/>
            </c:ext>
          </c:extLst>
        </c:ser>
        <c:ser>
          <c:idx val="1"/>
          <c:order val="1"/>
          <c:tx>
            <c:strRef>
              <c:f>'Admin and Grad Rates'!$I$44:$I$45</c:f>
              <c:strCache>
                <c:ptCount val="2"/>
                <c:pt idx="0">
                  <c:v>Graduation
Rate</c:v>
                </c:pt>
              </c:strCache>
            </c:strRef>
          </c:tx>
          <c:spPr>
            <a:solidFill>
              <a:schemeClr val="bg1">
                <a:lumMod val="75000"/>
              </a:schemeClr>
            </a:solidFill>
            <a:ln>
              <a:noFill/>
            </a:ln>
            <a:effectLst/>
          </c:spPr>
          <c:invertIfNegative val="0"/>
          <c:dLbls>
            <c:dLbl>
              <c:idx val="4"/>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C40E-4363-BB9C-EBF27301113F}"/>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'Admin and Grad Rates'!$C$46:$C$50</c:f>
              <c:strCache>
                <c:ptCount val="5"/>
                <c:pt idx="0">
                  <c:v>24 or Under</c:v>
                </c:pt>
                <c:pt idx="1">
                  <c:v>25 to 34</c:v>
                </c:pt>
                <c:pt idx="2">
                  <c:v>35 to 59</c:v>
                </c:pt>
                <c:pt idx="3">
                  <c:v>60 or Over</c:v>
                </c:pt>
                <c:pt idx="4">
                  <c:v>Total</c:v>
                </c:pt>
              </c:strCache>
            </c:strRef>
          </c:cat>
          <c:val>
            <c:numRef>
              <c:f>'Admin and Grad Rates'!$I$46:$I$50</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4-C40E-4363-BB9C-EBF27301113F}"/>
            </c:ext>
          </c:extLst>
        </c:ser>
        <c:dLbls>
          <c:showLegendKey val="0"/>
          <c:showVal val="0"/>
          <c:showCatName val="0"/>
          <c:showSerName val="0"/>
          <c:showPercent val="0"/>
          <c:showBubbleSize val="0"/>
        </c:dLbls>
        <c:gapWidth val="100"/>
        <c:axId val="508385888"/>
        <c:axId val="509078112"/>
      </c:barChart>
      <c:catAx>
        <c:axId val="508385888"/>
        <c:scaling>
          <c:orientation val="maxMin"/>
        </c:scaling>
        <c:delete val="1"/>
        <c:axPos val="l"/>
        <c:numFmt formatCode="General" sourceLinked="1"/>
        <c:majorTickMark val="none"/>
        <c:minorTickMark val="none"/>
        <c:tickLblPos val="nextTo"/>
        <c:crossAx val="509078112"/>
        <c:crosses val="autoZero"/>
        <c:auto val="1"/>
        <c:lblAlgn val="ctr"/>
        <c:lblOffset val="100"/>
        <c:noMultiLvlLbl val="0"/>
      </c:catAx>
      <c:valAx>
        <c:axId val="509078112"/>
        <c:scaling>
          <c:orientation val="minMax"/>
          <c:max val="1.25"/>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n-US"/>
          </a:p>
        </c:txPr>
        <c:crossAx val="508385888"/>
        <c:crosses val="autoZero"/>
        <c:crossBetween val="between"/>
        <c:majorUnit val="0.25"/>
      </c:valAx>
      <c:spPr>
        <a:noFill/>
        <a:ln>
          <a:noFill/>
        </a:ln>
        <a:effectLst/>
      </c:spPr>
    </c:plotArea>
    <c:legend>
      <c:legendPos val="b"/>
      <c:layout>
        <c:manualLayout>
          <c:xMode val="edge"/>
          <c:yMode val="edge"/>
          <c:x val="0.77459947056939071"/>
          <c:y val="0.40967578474655986"/>
          <c:w val="0.17395974670821734"/>
          <c:h val="0.43769553632736219"/>
        </c:manualLayout>
      </c:layout>
      <c:overlay val="0"/>
      <c:spPr>
        <a:noFill/>
        <a:ln>
          <a:noFill/>
        </a:ln>
        <a:effectLst/>
      </c:spPr>
      <c:txPr>
        <a:bodyPr rot="0" spcFirstLastPara="1" vertOverflow="ellipsis" vert="horz" wrap="square" anchor="ctr" anchorCtr="1"/>
        <a:lstStyle/>
        <a:p>
          <a:pPr>
            <a:defRPr sz="1000" b="1" i="0" u="none" strike="noStrike" kern="1200" baseline="0">
              <a:solidFill>
                <a:schemeClr val="tx1"/>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2861676373544389E-2"/>
          <c:y val="0.16852406521889088"/>
          <c:w val="0.9212434225672923"/>
          <c:h val="0.83147593478110904"/>
        </c:manualLayout>
      </c:layout>
      <c:barChart>
        <c:barDir val="bar"/>
        <c:grouping val="clustered"/>
        <c:varyColors val="0"/>
        <c:ser>
          <c:idx val="0"/>
          <c:order val="0"/>
          <c:tx>
            <c:strRef>
              <c:f>'Admin and Grad Rates'!$H$36</c:f>
              <c:strCache>
                <c:ptCount val="1"/>
                <c:pt idx="0">
                  <c:v>Admission
Rate</c:v>
                </c:pt>
              </c:strCache>
            </c:strRef>
          </c:tx>
          <c:spPr>
            <a:solidFill>
              <a:srgbClr val="002060"/>
            </a:solidFill>
            <a:ln>
              <a:noFill/>
            </a:ln>
            <a:effectLst/>
          </c:spPr>
          <c:invertIfNegative val="0"/>
          <c:dLbls>
            <c:dLbl>
              <c:idx val="4"/>
              <c:layout>
                <c:manualLayout>
                  <c:x val="1.7021276595744681E-2"/>
                  <c:y val="1.1042946919075782E-2"/>
                </c:manualLayout>
              </c:layout>
              <c:spPr>
                <a:noFill/>
                <a:ln>
                  <a:noFill/>
                </a:ln>
                <a:effectLst/>
              </c:spPr>
              <c:txPr>
                <a:bodyPr rot="0" spcFirstLastPara="1" vertOverflow="ellipsis" vert="horz" wrap="square" lIns="38100" tIns="19050" rIns="38100" bIns="19050" anchor="ctr" anchorCtr="1">
                  <a:no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15:layout>
                    <c:manualLayout>
                      <c:w val="6.6921985815602839E-2"/>
                      <c:h val="0.11031932956269351"/>
                    </c:manualLayout>
                  </c15:layout>
                </c:ext>
                <c:ext xmlns:c16="http://schemas.microsoft.com/office/drawing/2014/chart" uri="{C3380CC4-5D6E-409C-BE32-E72D297353CC}">
                  <c16:uniqueId val="{00000005-7CB9-4C43-A0E3-B5D872F9E98A}"/>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'Admin and Grad Rates'!$C$37:$C$42</c15:sqref>
                  </c15:fullRef>
                </c:ext>
              </c:extLst>
              <c:f>'Admin and Grad Rates'!$C$38:$C$42</c:f>
              <c:strCache>
                <c:ptCount val="5"/>
                <c:pt idx="0">
                  <c:v>Straight or Heterosexual</c:v>
                </c:pt>
                <c:pt idx="1">
                  <c:v>Bisexual</c:v>
                </c:pt>
                <c:pt idx="2">
                  <c:v>Gay or Lesbian</c:v>
                </c:pt>
                <c:pt idx="3">
                  <c:v>Unsure</c:v>
                </c:pt>
                <c:pt idx="4">
                  <c:v>Total</c:v>
                </c:pt>
              </c:strCache>
            </c:strRef>
          </c:cat>
          <c:val>
            <c:numRef>
              <c:extLst>
                <c:ext xmlns:c15="http://schemas.microsoft.com/office/drawing/2012/chart" uri="{02D57815-91ED-43cb-92C2-25804820EDAC}">
                  <c15:fullRef>
                    <c15:sqref>'Admin and Grad Rates'!$H$37:$H$42</c15:sqref>
                  </c15:fullRef>
                </c:ext>
              </c:extLst>
              <c:f>'Admin and Grad Rates'!$H$38:$H$42</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1-7CB9-4C43-A0E3-B5D872F9E98A}"/>
            </c:ext>
          </c:extLst>
        </c:ser>
        <c:ser>
          <c:idx val="1"/>
          <c:order val="1"/>
          <c:tx>
            <c:strRef>
              <c:f>'Admin and Grad Rates'!$I$36</c:f>
              <c:strCache>
                <c:ptCount val="1"/>
                <c:pt idx="0">
                  <c:v>Graduation
Rate</c:v>
                </c:pt>
              </c:strCache>
            </c:strRef>
          </c:tx>
          <c:spPr>
            <a:solidFill>
              <a:schemeClr val="bg1">
                <a:lumMod val="75000"/>
              </a:schemeClr>
            </a:solidFill>
            <a:ln>
              <a:noFill/>
            </a:ln>
            <a:effectLst/>
          </c:spPr>
          <c:invertIfNegative val="0"/>
          <c:dLbls>
            <c:dLbl>
              <c:idx val="4"/>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7CB9-4C43-A0E3-B5D872F9E98A}"/>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'Admin and Grad Rates'!$C$37:$C$42</c15:sqref>
                  </c15:fullRef>
                </c:ext>
              </c:extLst>
              <c:f>'Admin and Grad Rates'!$C$38:$C$42</c:f>
              <c:strCache>
                <c:ptCount val="5"/>
                <c:pt idx="0">
                  <c:v>Straight or Heterosexual</c:v>
                </c:pt>
                <c:pt idx="1">
                  <c:v>Bisexual</c:v>
                </c:pt>
                <c:pt idx="2">
                  <c:v>Gay or Lesbian</c:v>
                </c:pt>
                <c:pt idx="3">
                  <c:v>Unsure</c:v>
                </c:pt>
                <c:pt idx="4">
                  <c:v>Total</c:v>
                </c:pt>
              </c:strCache>
            </c:strRef>
          </c:cat>
          <c:val>
            <c:numRef>
              <c:extLst>
                <c:ext xmlns:c15="http://schemas.microsoft.com/office/drawing/2012/chart" uri="{02D57815-91ED-43cb-92C2-25804820EDAC}">
                  <c15:fullRef>
                    <c15:sqref>'Admin and Grad Rates'!$I$37:$I$42</c15:sqref>
                  </c15:fullRef>
                </c:ext>
              </c:extLst>
              <c:f>'Admin and Grad Rates'!$I$38:$I$42</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4-7CB9-4C43-A0E3-B5D872F9E98A}"/>
            </c:ext>
          </c:extLst>
        </c:ser>
        <c:dLbls>
          <c:showLegendKey val="0"/>
          <c:showVal val="0"/>
          <c:showCatName val="0"/>
          <c:showSerName val="0"/>
          <c:showPercent val="0"/>
          <c:showBubbleSize val="0"/>
        </c:dLbls>
        <c:gapWidth val="100"/>
        <c:axId val="508385888"/>
        <c:axId val="509078112"/>
      </c:barChart>
      <c:catAx>
        <c:axId val="508385888"/>
        <c:scaling>
          <c:orientation val="maxMin"/>
        </c:scaling>
        <c:delete val="1"/>
        <c:axPos val="l"/>
        <c:numFmt formatCode="General" sourceLinked="1"/>
        <c:majorTickMark val="none"/>
        <c:minorTickMark val="none"/>
        <c:tickLblPos val="nextTo"/>
        <c:crossAx val="509078112"/>
        <c:crosses val="autoZero"/>
        <c:auto val="1"/>
        <c:lblAlgn val="ctr"/>
        <c:lblOffset val="100"/>
        <c:noMultiLvlLbl val="0"/>
      </c:catAx>
      <c:valAx>
        <c:axId val="509078112"/>
        <c:scaling>
          <c:orientation val="minMax"/>
          <c:max val="1.25"/>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n-US"/>
          </a:p>
        </c:txPr>
        <c:crossAx val="508385888"/>
        <c:crosses val="autoZero"/>
        <c:crossBetween val="between"/>
        <c:majorUnit val="0.25"/>
      </c:valAx>
      <c:spPr>
        <a:noFill/>
        <a:ln>
          <a:noFill/>
        </a:ln>
        <a:effectLst/>
      </c:spPr>
    </c:plotArea>
    <c:legend>
      <c:legendPos val="b"/>
      <c:layout>
        <c:manualLayout>
          <c:xMode val="edge"/>
          <c:yMode val="edge"/>
          <c:x val="0.74623063606410889"/>
          <c:y val="0.40967594023012227"/>
          <c:w val="0.22540046379835849"/>
          <c:h val="0.45251213999558282"/>
        </c:manualLayout>
      </c:layout>
      <c:overlay val="0"/>
      <c:spPr>
        <a:noFill/>
        <a:ln>
          <a:noFill/>
        </a:ln>
        <a:effectLst/>
      </c:spPr>
      <c:txPr>
        <a:bodyPr rot="0" spcFirstLastPara="1" vertOverflow="ellipsis" vert="horz" wrap="square" anchor="ctr" anchorCtr="1"/>
        <a:lstStyle/>
        <a:p>
          <a:pPr>
            <a:defRPr sz="1000" b="1" i="0" u="none" strike="noStrike" kern="1200" baseline="0">
              <a:solidFill>
                <a:schemeClr val="tx1"/>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solidFill>
                <a:latin typeface="+mn-lt"/>
                <a:ea typeface="+mn-ea"/>
                <a:cs typeface="+mn-cs"/>
              </a:defRPr>
            </a:pPr>
            <a:r>
              <a:rPr lang="en-US" sz="1400">
                <a:solidFill>
                  <a:schemeClr val="tx1"/>
                </a:solidFill>
              </a:rPr>
              <a:t>Present Gender Identity Distribution of Referrals</a:t>
            </a:r>
          </a:p>
        </c:rich>
      </c:tx>
      <c:layout>
        <c:manualLayout>
          <c:xMode val="edge"/>
          <c:yMode val="edge"/>
          <c:x val="0.21641217989643186"/>
          <c:y val="3.4292502428022184E-3"/>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solidFill>
              <a:latin typeface="+mn-lt"/>
              <a:ea typeface="+mn-ea"/>
              <a:cs typeface="+mn-cs"/>
            </a:defRPr>
          </a:pPr>
          <a:endParaRPr lang="en-US"/>
        </a:p>
      </c:txPr>
    </c:title>
    <c:autoTitleDeleted val="0"/>
    <c:plotArea>
      <c:layout>
        <c:manualLayout>
          <c:layoutTarget val="inner"/>
          <c:xMode val="edge"/>
          <c:yMode val="edge"/>
          <c:x val="1.793429526371566E-2"/>
          <c:y val="0.12485154951961282"/>
          <c:w val="0.96724945096148685"/>
          <c:h val="0.73843177859648279"/>
        </c:manualLayout>
      </c:layout>
      <c:barChart>
        <c:barDir val="col"/>
        <c:grouping val="clustered"/>
        <c:varyColors val="0"/>
        <c:ser>
          <c:idx val="2"/>
          <c:order val="0"/>
          <c:spPr>
            <a:solidFill>
              <a:schemeClr val="accent5">
                <a:lumMod val="5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(Gender!$B$46:$B$47,Gender!$B$50:$B$53)</c:f>
              <c:strCache>
                <c:ptCount val="6"/>
                <c:pt idx="0">
                  <c:v>Male</c:v>
                </c:pt>
                <c:pt idx="1">
                  <c:v>Female</c:v>
                </c:pt>
                <c:pt idx="2">
                  <c:v>Transgender 
Female</c:v>
                </c:pt>
                <c:pt idx="3">
                  <c:v>Transgender 
Male</c:v>
                </c:pt>
                <c:pt idx="4">
                  <c:v>Gender Fluid</c:v>
                </c:pt>
                <c:pt idx="5">
                  <c:v>Agender</c:v>
                </c:pt>
              </c:strCache>
            </c:strRef>
          </c:cat>
          <c:val>
            <c:numRef>
              <c:f>(Gender!$E$46:$E$47,Gender!$E$50:$E$53)</c:f>
              <c:numCache>
                <c:formatCode>??0%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2-FBF8-4043-860B-646EFA2951FE}"/>
            </c:ext>
          </c:extLst>
        </c:ser>
        <c:dLbls>
          <c:showLegendKey val="0"/>
          <c:showVal val="0"/>
          <c:showCatName val="0"/>
          <c:showSerName val="0"/>
          <c:showPercent val="0"/>
          <c:showBubbleSize val="0"/>
        </c:dLbls>
        <c:gapWidth val="126"/>
        <c:overlap val="-6"/>
        <c:axId val="153259256"/>
        <c:axId val="153260824"/>
      </c:barChart>
      <c:catAx>
        <c:axId val="1532592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800" b="1" i="0" u="none" strike="noStrike" kern="1200" baseline="0">
                <a:solidFill>
                  <a:schemeClr val="tx1"/>
                </a:solidFill>
                <a:latin typeface="+mn-lt"/>
                <a:ea typeface="+mn-ea"/>
                <a:cs typeface="+mn-cs"/>
              </a:defRPr>
            </a:pPr>
            <a:endParaRPr lang="en-US"/>
          </a:p>
        </c:txPr>
        <c:crossAx val="153260824"/>
        <c:crosses val="autoZero"/>
        <c:auto val="1"/>
        <c:lblAlgn val="ctr"/>
        <c:lblOffset val="100"/>
        <c:noMultiLvlLbl val="0"/>
      </c:catAx>
      <c:valAx>
        <c:axId val="153260824"/>
        <c:scaling>
          <c:orientation val="minMax"/>
        </c:scaling>
        <c:delete val="1"/>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crossAx val="153259256"/>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solidFill>
                <a:latin typeface="+mn-lt"/>
                <a:ea typeface="+mn-ea"/>
                <a:cs typeface="+mn-cs"/>
              </a:defRPr>
            </a:pPr>
            <a:r>
              <a:rPr lang="en-US" sz="1400" b="1">
                <a:solidFill>
                  <a:schemeClr val="tx1"/>
                </a:solidFill>
              </a:rPr>
              <a:t>Drug Arrests v. Referrals</a:t>
            </a:r>
            <a:r>
              <a:rPr lang="en-US" sz="1400" b="1" baseline="0">
                <a:solidFill>
                  <a:schemeClr val="tx1"/>
                </a:solidFill>
              </a:rPr>
              <a:t>, </a:t>
            </a:r>
            <a:r>
              <a:rPr lang="en-US" sz="1400" b="1" i="0" u="none" strike="noStrike" baseline="0">
                <a:effectLst/>
              </a:rPr>
              <a:t>by Sex at Birth</a:t>
            </a:r>
            <a:endParaRPr lang="en-US" sz="1400" b="1">
              <a:solidFill>
                <a:schemeClr val="tx1"/>
              </a:solidFill>
            </a:endParaRPr>
          </a:p>
        </c:rich>
      </c:tx>
      <c:layout>
        <c:manualLayout>
          <c:xMode val="edge"/>
          <c:yMode val="edge"/>
          <c:x val="0.2477834600571836"/>
          <c:y val="0"/>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solidFill>
              <a:latin typeface="+mn-lt"/>
              <a:ea typeface="+mn-ea"/>
              <a:cs typeface="+mn-cs"/>
            </a:defRPr>
          </a:pPr>
          <a:endParaRPr lang="en-US"/>
        </a:p>
      </c:txPr>
    </c:title>
    <c:autoTitleDeleted val="0"/>
    <c:plotArea>
      <c:layout/>
      <c:barChart>
        <c:barDir val="col"/>
        <c:grouping val="clustered"/>
        <c:varyColors val="0"/>
        <c:ser>
          <c:idx val="0"/>
          <c:order val="0"/>
          <c:tx>
            <c:strRef>
              <c:f>Gender!$B$59</c:f>
              <c:strCache>
                <c:ptCount val="1"/>
                <c:pt idx="0">
                  <c:v>Male</c:v>
                </c:pt>
              </c:strCache>
            </c:strRef>
          </c:tx>
          <c:spPr>
            <a:solidFill>
              <a:schemeClr val="accent5">
                <a:lumMod val="50000"/>
              </a:schemeClr>
            </a:solidFill>
            <a:ln>
              <a:solidFill>
                <a:schemeClr val="accent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(Gender!$D$58,Gender!$F$58)</c:f>
              <c:strCache>
                <c:ptCount val="2"/>
                <c:pt idx="0">
                  <c:v>BJS
(2014)</c:v>
                </c:pt>
                <c:pt idx="1">
                  <c:v>Your
Court</c:v>
                </c:pt>
              </c:strCache>
            </c:strRef>
          </c:cat>
          <c:val>
            <c:numRef>
              <c:f>(Gender!$D$59,Gender!$F$59)</c:f>
              <c:numCache>
                <c:formatCode>??0%</c:formatCode>
                <c:ptCount val="2"/>
                <c:pt idx="0">
                  <c:v>0.77986829662203561</c:v>
                </c:pt>
                <c:pt idx="1">
                  <c:v>0</c:v>
                </c:pt>
              </c:numCache>
            </c:numRef>
          </c:val>
          <c:extLst>
            <c:ext xmlns:c16="http://schemas.microsoft.com/office/drawing/2014/chart" uri="{C3380CC4-5D6E-409C-BE32-E72D297353CC}">
              <c16:uniqueId val="{00000000-A11E-4B6C-854E-BC785380F2C7}"/>
            </c:ext>
          </c:extLst>
        </c:ser>
        <c:ser>
          <c:idx val="1"/>
          <c:order val="1"/>
          <c:tx>
            <c:strRef>
              <c:f>Gender!$B$60</c:f>
              <c:strCache>
                <c:ptCount val="1"/>
                <c:pt idx="0">
                  <c:v>Female</c:v>
                </c:pt>
              </c:strCache>
            </c:strRef>
          </c:tx>
          <c:spPr>
            <a:solidFill>
              <a:schemeClr val="bg1">
                <a:lumMod val="7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(Gender!$D$58,Gender!$F$58)</c:f>
              <c:strCache>
                <c:ptCount val="2"/>
                <c:pt idx="0">
                  <c:v>BJS
(2014)</c:v>
                </c:pt>
                <c:pt idx="1">
                  <c:v>Your
Court</c:v>
                </c:pt>
              </c:strCache>
            </c:strRef>
          </c:cat>
          <c:val>
            <c:numRef>
              <c:f>(Gender!$D$60,Gender!$F$60)</c:f>
              <c:numCache>
                <c:formatCode>??0%</c:formatCode>
                <c:ptCount val="2"/>
                <c:pt idx="0">
                  <c:v>0.22013170337796437</c:v>
                </c:pt>
                <c:pt idx="1">
                  <c:v>0</c:v>
                </c:pt>
              </c:numCache>
            </c:numRef>
          </c:val>
          <c:extLst>
            <c:ext xmlns:c16="http://schemas.microsoft.com/office/drawing/2014/chart" uri="{C3380CC4-5D6E-409C-BE32-E72D297353CC}">
              <c16:uniqueId val="{00000001-A11E-4B6C-854E-BC785380F2C7}"/>
            </c:ext>
          </c:extLst>
        </c:ser>
        <c:dLbls>
          <c:showLegendKey val="0"/>
          <c:showVal val="0"/>
          <c:showCatName val="0"/>
          <c:showSerName val="0"/>
          <c:showPercent val="0"/>
          <c:showBubbleSize val="0"/>
        </c:dLbls>
        <c:gapWidth val="219"/>
        <c:overlap val="-27"/>
        <c:axId val="508383928"/>
        <c:axId val="508380008"/>
      </c:barChart>
      <c:catAx>
        <c:axId val="5083839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solidFill>
                <a:latin typeface="+mn-lt"/>
                <a:ea typeface="+mn-ea"/>
                <a:cs typeface="+mn-cs"/>
              </a:defRPr>
            </a:pPr>
            <a:endParaRPr lang="en-US"/>
          </a:p>
        </c:txPr>
        <c:crossAx val="508380008"/>
        <c:crosses val="autoZero"/>
        <c:auto val="1"/>
        <c:lblAlgn val="ctr"/>
        <c:lblOffset val="100"/>
        <c:noMultiLvlLbl val="0"/>
      </c:catAx>
      <c:valAx>
        <c:axId val="508380008"/>
        <c:scaling>
          <c:orientation val="minMax"/>
        </c:scaling>
        <c:delete val="1"/>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crossAx val="50838392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1" i="0" u="none" strike="noStrike" kern="1200" baseline="0">
              <a:solidFill>
                <a:schemeClr val="tx1"/>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400" b="1">
                <a:solidFill>
                  <a:schemeClr val="tx1"/>
                </a:solidFill>
              </a:rPr>
              <a:t>Sexual Orientation</a:t>
            </a:r>
          </a:p>
        </c:rich>
      </c:tx>
      <c:layout>
        <c:manualLayout>
          <c:xMode val="edge"/>
          <c:yMode val="edge"/>
          <c:x val="0.3792728425725308"/>
          <c:y val="8.130081300813009E-3"/>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8.948545861297539E-3"/>
          <c:y val="0.13044715447154473"/>
          <c:w val="0.98210290827740487"/>
          <c:h val="0.77525094424172591"/>
        </c:manualLayout>
      </c:layout>
      <c:barChart>
        <c:barDir val="col"/>
        <c:grouping val="clustered"/>
        <c:varyColors val="0"/>
        <c:ser>
          <c:idx val="0"/>
          <c:order val="0"/>
          <c:spPr>
            <a:solidFill>
              <a:srgbClr val="00206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'Data Entry'!$I$357:$I$360</c:f>
              <c:strCache>
                <c:ptCount val="4"/>
                <c:pt idx="0">
                  <c:v>Straight or Heterosexual</c:v>
                </c:pt>
                <c:pt idx="1">
                  <c:v>Bisexual</c:v>
                </c:pt>
                <c:pt idx="2">
                  <c:v>Gay or Lesbian</c:v>
                </c:pt>
                <c:pt idx="3">
                  <c:v>Unsure</c:v>
                </c:pt>
              </c:strCache>
            </c:strRef>
          </c:cat>
          <c:val>
            <c:numRef>
              <c:f>'Data Entry'!$K$357:$K$360</c:f>
              <c:numCache>
                <c:formatCode>0%</c:formatCode>
                <c:ptCount val="4"/>
                <c:pt idx="0">
                  <c:v>0</c:v>
                </c:pt>
                <c:pt idx="1">
                  <c:v>0</c:v>
                </c:pt>
                <c:pt idx="2">
                  <c:v>0</c:v>
                </c:pt>
                <c:pt idx="3">
                  <c:v>0</c:v>
                </c:pt>
              </c:numCache>
            </c:numRef>
          </c:val>
          <c:extLst>
            <c:ext xmlns:c16="http://schemas.microsoft.com/office/drawing/2014/chart" uri="{C3380CC4-5D6E-409C-BE32-E72D297353CC}">
              <c16:uniqueId val="{00000000-4FCD-475D-9C52-BC8870CE314E}"/>
            </c:ext>
          </c:extLst>
        </c:ser>
        <c:dLbls>
          <c:showLegendKey val="0"/>
          <c:showVal val="0"/>
          <c:showCatName val="0"/>
          <c:showSerName val="0"/>
          <c:showPercent val="0"/>
          <c:showBubbleSize val="0"/>
        </c:dLbls>
        <c:gapWidth val="219"/>
        <c:overlap val="-27"/>
        <c:axId val="890334655"/>
        <c:axId val="1357463071"/>
      </c:barChart>
      <c:catAx>
        <c:axId val="8903346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solidFill>
                <a:latin typeface="+mn-lt"/>
                <a:ea typeface="+mn-ea"/>
                <a:cs typeface="+mn-cs"/>
              </a:defRPr>
            </a:pPr>
            <a:endParaRPr lang="en-US"/>
          </a:p>
        </c:txPr>
        <c:crossAx val="1357463071"/>
        <c:crosses val="autoZero"/>
        <c:auto val="1"/>
        <c:lblAlgn val="ctr"/>
        <c:lblOffset val="100"/>
        <c:noMultiLvlLbl val="0"/>
      </c:catAx>
      <c:valAx>
        <c:axId val="1357463071"/>
        <c:scaling>
          <c:orientation val="minMax"/>
        </c:scaling>
        <c:delete val="1"/>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crossAx val="890334655"/>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solidFill>
                <a:latin typeface="+mn-lt"/>
                <a:ea typeface="+mn-ea"/>
                <a:cs typeface="+mn-cs"/>
              </a:defRPr>
            </a:pPr>
            <a:r>
              <a:rPr lang="en-US" b="1">
                <a:solidFill>
                  <a:schemeClr val="tx1"/>
                </a:solidFill>
              </a:rPr>
              <a:t>Drug Arrests v. Referrals, by </a:t>
            </a:r>
            <a:r>
              <a:rPr lang="en-US" sz="1400" b="1" i="0" u="none" strike="noStrike" baseline="0">
                <a:effectLst/>
              </a:rPr>
              <a:t>Race Classification</a:t>
            </a:r>
            <a:endParaRPr lang="en-US" b="1">
              <a:solidFill>
                <a:schemeClr val="tx1"/>
              </a:solidFill>
            </a:endParaRP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solidFill>
              <a:latin typeface="+mn-lt"/>
              <a:ea typeface="+mn-ea"/>
              <a:cs typeface="+mn-cs"/>
            </a:defRPr>
          </a:pPr>
          <a:endParaRPr lang="en-US"/>
        </a:p>
      </c:txPr>
    </c:title>
    <c:autoTitleDeleted val="0"/>
    <c:plotArea>
      <c:layout>
        <c:manualLayout>
          <c:layoutTarget val="inner"/>
          <c:xMode val="edge"/>
          <c:yMode val="edge"/>
          <c:x val="2.0762554992160908E-2"/>
          <c:y val="9.5773929421612988E-2"/>
          <c:w val="0.9584748900156782"/>
          <c:h val="0.80107908023125018"/>
        </c:manualLayout>
      </c:layout>
      <c:barChart>
        <c:barDir val="col"/>
        <c:grouping val="clustered"/>
        <c:varyColors val="0"/>
        <c:ser>
          <c:idx val="0"/>
          <c:order val="0"/>
          <c:tx>
            <c:v>Referrals</c:v>
          </c:tx>
          <c:spPr>
            <a:solidFill>
              <a:schemeClr val="accent5">
                <a:lumMod val="5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Race!$B$36:$B$42</c:f>
              <c:strCache>
                <c:ptCount val="7"/>
                <c:pt idx="0">
                  <c:v>White or
Caucasian</c:v>
                </c:pt>
                <c:pt idx="1">
                  <c:v>Black or African-American</c:v>
                </c:pt>
                <c:pt idx="2">
                  <c:v>Am. Indian/
Alaska Native</c:v>
                </c:pt>
                <c:pt idx="3">
                  <c:v>Asian</c:v>
                </c:pt>
                <c:pt idx="4">
                  <c:v>Pacific
Islander</c:v>
                </c:pt>
                <c:pt idx="5">
                  <c:v>Blended
Race</c:v>
                </c:pt>
                <c:pt idx="6">
                  <c:v>Other</c:v>
                </c:pt>
              </c:strCache>
            </c:strRef>
          </c:cat>
          <c:val>
            <c:numRef>
              <c:f>Race!$G$36:$G$42</c:f>
              <c:numCache>
                <c:formatCode>??0%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8DE3-4128-9557-0A26DBA27B83}"/>
            </c:ext>
          </c:extLst>
        </c:ser>
        <c:ser>
          <c:idx val="1"/>
          <c:order val="1"/>
          <c:tx>
            <c:strRef>
              <c:f>Race!$B$45</c:f>
              <c:strCache>
                <c:ptCount val="1"/>
                <c:pt idx="0">
                  <c:v>UCR - 
2016</c:v>
                </c:pt>
              </c:strCache>
            </c:strRef>
          </c:tx>
          <c:spPr>
            <a:solidFill>
              <a:schemeClr val="bg1">
                <a:lumMod val="7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Race!$B$36:$B$42</c:f>
              <c:strCache>
                <c:ptCount val="7"/>
                <c:pt idx="0">
                  <c:v>White or
Caucasian</c:v>
                </c:pt>
                <c:pt idx="1">
                  <c:v>Black or African-American</c:v>
                </c:pt>
                <c:pt idx="2">
                  <c:v>Am. Indian/
Alaska Native</c:v>
                </c:pt>
                <c:pt idx="3">
                  <c:v>Asian</c:v>
                </c:pt>
                <c:pt idx="4">
                  <c:v>Pacific
Islander</c:v>
                </c:pt>
                <c:pt idx="5">
                  <c:v>Blended
Race</c:v>
                </c:pt>
                <c:pt idx="6">
                  <c:v>Other</c:v>
                </c:pt>
              </c:strCache>
            </c:strRef>
          </c:cat>
          <c:val>
            <c:numRef>
              <c:f>Race!$G$46:$G$52</c:f>
              <c:numCache>
                <c:formatCode>??0%</c:formatCode>
                <c:ptCount val="7"/>
                <c:pt idx="0">
                  <c:v>0.70199999999999996</c:v>
                </c:pt>
                <c:pt idx="1">
                  <c:v>0.26200000000000001</c:v>
                </c:pt>
                <c:pt idx="2">
                  <c:v>2.1000000000000001E-2</c:v>
                </c:pt>
                <c:pt idx="3">
                  <c:v>1.2E-2</c:v>
                </c:pt>
                <c:pt idx="4">
                  <c:v>3.0000000000000001E-3</c:v>
                </c:pt>
                <c:pt idx="5">
                  <c:v>0</c:v>
                </c:pt>
                <c:pt idx="6">
                  <c:v>0</c:v>
                </c:pt>
              </c:numCache>
            </c:numRef>
          </c:val>
          <c:extLst>
            <c:ext xmlns:c16="http://schemas.microsoft.com/office/drawing/2014/chart" uri="{C3380CC4-5D6E-409C-BE32-E72D297353CC}">
              <c16:uniqueId val="{00000001-8DE3-4128-9557-0A26DBA27B83}"/>
            </c:ext>
          </c:extLst>
        </c:ser>
        <c:dLbls>
          <c:showLegendKey val="0"/>
          <c:showVal val="0"/>
          <c:showCatName val="0"/>
          <c:showSerName val="0"/>
          <c:showPercent val="0"/>
          <c:showBubbleSize val="0"/>
        </c:dLbls>
        <c:gapWidth val="66"/>
        <c:overlap val="-8"/>
        <c:axId val="508384320"/>
        <c:axId val="508385104"/>
      </c:barChart>
      <c:catAx>
        <c:axId val="5083843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solidFill>
                <a:latin typeface="+mn-lt"/>
                <a:ea typeface="+mn-ea"/>
                <a:cs typeface="+mn-cs"/>
              </a:defRPr>
            </a:pPr>
            <a:endParaRPr lang="en-US"/>
          </a:p>
        </c:txPr>
        <c:crossAx val="508385104"/>
        <c:crosses val="autoZero"/>
        <c:auto val="1"/>
        <c:lblAlgn val="ctr"/>
        <c:lblOffset val="100"/>
        <c:noMultiLvlLbl val="0"/>
      </c:catAx>
      <c:valAx>
        <c:axId val="508385104"/>
        <c:scaling>
          <c:orientation val="minMax"/>
        </c:scaling>
        <c:delete val="1"/>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crossAx val="508384320"/>
        <c:crosses val="autoZero"/>
        <c:crossBetween val="between"/>
      </c:valAx>
      <c:spPr>
        <a:noFill/>
        <a:ln>
          <a:noFill/>
        </a:ln>
        <a:effectLst/>
      </c:spPr>
    </c:plotArea>
    <c:legend>
      <c:legendPos val="t"/>
      <c:layout>
        <c:manualLayout>
          <c:xMode val="edge"/>
          <c:yMode val="edge"/>
          <c:x val="0.74644981859887982"/>
          <c:y val="0.3185950593385129"/>
          <c:w val="0.15152964445499331"/>
          <c:h val="0.1582598686792058"/>
        </c:manualLayout>
      </c:layout>
      <c:overlay val="0"/>
      <c:spPr>
        <a:noFill/>
        <a:ln>
          <a:no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solidFill>
                <a:latin typeface="+mn-lt"/>
                <a:ea typeface="+mn-ea"/>
                <a:cs typeface="+mn-cs"/>
              </a:defRPr>
            </a:pPr>
            <a:r>
              <a:rPr lang="en-US">
                <a:solidFill>
                  <a:schemeClr val="tx1"/>
                </a:solidFill>
              </a:rPr>
              <a:t>Drug Arrests v.</a:t>
            </a:r>
            <a:r>
              <a:rPr lang="en-US" baseline="0">
                <a:solidFill>
                  <a:schemeClr val="tx1"/>
                </a:solidFill>
              </a:rPr>
              <a:t> Referrals, by </a:t>
            </a:r>
            <a:r>
              <a:rPr lang="en-US">
                <a:solidFill>
                  <a:schemeClr val="tx1"/>
                </a:solidFill>
              </a:rPr>
              <a:t>Ethnicity</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solidFill>
              <a:latin typeface="+mn-lt"/>
              <a:ea typeface="+mn-ea"/>
              <a:cs typeface="+mn-cs"/>
            </a:defRPr>
          </a:pPr>
          <a:endParaRPr lang="en-US"/>
        </a:p>
      </c:txPr>
    </c:title>
    <c:autoTitleDeleted val="0"/>
    <c:plotArea>
      <c:layout/>
      <c:barChart>
        <c:barDir val="col"/>
        <c:grouping val="clustered"/>
        <c:varyColors val="0"/>
        <c:ser>
          <c:idx val="0"/>
          <c:order val="0"/>
          <c:tx>
            <c:strRef>
              <c:f>Ethnicity!$G$33</c:f>
              <c:strCache>
                <c:ptCount val="1"/>
                <c:pt idx="0">
                  <c:v>Referrals</c:v>
                </c:pt>
              </c:strCache>
            </c:strRef>
          </c:tx>
          <c:spPr>
            <a:solidFill>
              <a:schemeClr val="accent5">
                <a:lumMod val="5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Ethnicity!$C$35:$C$36</c:f>
              <c:strCache>
                <c:ptCount val="2"/>
                <c:pt idx="0">
                  <c:v>Hispanic or Latinx</c:v>
                </c:pt>
                <c:pt idx="1">
                  <c:v>Not Hispanic or Latinx</c:v>
                </c:pt>
              </c:strCache>
            </c:strRef>
          </c:cat>
          <c:val>
            <c:numRef>
              <c:f>Ethnicity!$G$35:$G$36</c:f>
              <c:numCache>
                <c:formatCode>??0%</c:formatCode>
                <c:ptCount val="2"/>
                <c:pt idx="0">
                  <c:v>0</c:v>
                </c:pt>
                <c:pt idx="1">
                  <c:v>0</c:v>
                </c:pt>
              </c:numCache>
            </c:numRef>
          </c:val>
          <c:extLst>
            <c:ext xmlns:c16="http://schemas.microsoft.com/office/drawing/2014/chart" uri="{C3380CC4-5D6E-409C-BE32-E72D297353CC}">
              <c16:uniqueId val="{00000000-FCC8-40DD-9A15-EE6DB48E8B6A}"/>
            </c:ext>
          </c:extLst>
        </c:ser>
        <c:ser>
          <c:idx val="1"/>
          <c:order val="1"/>
          <c:tx>
            <c:strRef>
              <c:f>Ethnicity!$H$33</c:f>
              <c:strCache>
                <c:ptCount val="1"/>
                <c:pt idx="0">
                  <c:v>UCR Data</c:v>
                </c:pt>
              </c:strCache>
            </c:strRef>
          </c:tx>
          <c:spPr>
            <a:solidFill>
              <a:schemeClr val="bg1">
                <a:lumMod val="7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Ethnicity!$H$35:$H$36</c:f>
              <c:numCache>
                <c:formatCode>??0%</c:formatCode>
                <c:ptCount val="2"/>
                <c:pt idx="0">
                  <c:v>0.19789351462575233</c:v>
                </c:pt>
                <c:pt idx="1">
                  <c:v>0.80210648537424767</c:v>
                </c:pt>
              </c:numCache>
            </c:numRef>
          </c:val>
          <c:extLst>
            <c:ext xmlns:c16="http://schemas.microsoft.com/office/drawing/2014/chart" uri="{C3380CC4-5D6E-409C-BE32-E72D297353CC}">
              <c16:uniqueId val="{00000000-4FB8-4745-9F4E-78D887D271C0}"/>
            </c:ext>
          </c:extLst>
        </c:ser>
        <c:dLbls>
          <c:showLegendKey val="0"/>
          <c:showVal val="0"/>
          <c:showCatName val="0"/>
          <c:showSerName val="0"/>
          <c:showPercent val="0"/>
          <c:showBubbleSize val="0"/>
        </c:dLbls>
        <c:gapWidth val="219"/>
        <c:overlap val="-27"/>
        <c:axId val="508381184"/>
        <c:axId val="508378440"/>
      </c:barChart>
      <c:catAx>
        <c:axId val="5083811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solidFill>
                <a:latin typeface="+mn-lt"/>
                <a:ea typeface="+mn-ea"/>
                <a:cs typeface="+mn-cs"/>
              </a:defRPr>
            </a:pPr>
            <a:endParaRPr lang="en-US"/>
          </a:p>
        </c:txPr>
        <c:crossAx val="508378440"/>
        <c:crosses val="autoZero"/>
        <c:auto val="1"/>
        <c:lblAlgn val="ctr"/>
        <c:lblOffset val="100"/>
        <c:noMultiLvlLbl val="0"/>
      </c:catAx>
      <c:valAx>
        <c:axId val="508378440"/>
        <c:scaling>
          <c:orientation val="minMax"/>
        </c:scaling>
        <c:delete val="1"/>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crossAx val="508381184"/>
        <c:crosses val="autoZero"/>
        <c:crossBetween val="between"/>
      </c:valAx>
      <c:spPr>
        <a:noFill/>
        <a:ln>
          <a:noFill/>
        </a:ln>
        <a:effectLst/>
      </c:spPr>
    </c:plotArea>
    <c:legend>
      <c:legendPos val="t"/>
      <c:layout>
        <c:manualLayout>
          <c:xMode val="edge"/>
          <c:yMode val="edge"/>
          <c:x val="6.3498995219454221E-2"/>
          <c:y val="0.19418212478920743"/>
          <c:w val="0.1078240519105379"/>
          <c:h val="0.126124559050692"/>
        </c:manualLayout>
      </c:layout>
      <c:overlay val="0"/>
      <c:spPr>
        <a:noFill/>
        <a:ln>
          <a:noFill/>
        </a:ln>
        <a:effectLst/>
      </c:spPr>
      <c:txPr>
        <a:bodyPr rot="0" spcFirstLastPara="1" vertOverflow="ellipsis" vert="horz" wrap="square" anchor="ctr" anchorCtr="1"/>
        <a:lstStyle/>
        <a:p>
          <a:pPr>
            <a:defRPr sz="1050" b="1" i="0" u="none" strike="noStrike" kern="1200" baseline="0">
              <a:solidFill>
                <a:sysClr val="windowText" lastClr="000000"/>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1937445319335081E-2"/>
          <c:y val="0.10318642461358998"/>
          <c:w val="0.91827777777777775"/>
          <c:h val="0.88350284339457563"/>
        </c:manualLayout>
      </c:layout>
      <c:barChart>
        <c:barDir val="bar"/>
        <c:grouping val="clustered"/>
        <c:varyColors val="0"/>
        <c:ser>
          <c:idx val="0"/>
          <c:order val="0"/>
          <c:tx>
            <c:strRef>
              <c:f>'Admin and Grad Rates'!$H$5:$H$6</c:f>
              <c:strCache>
                <c:ptCount val="2"/>
                <c:pt idx="0">
                  <c:v>Admission
Rate</c:v>
                </c:pt>
              </c:strCache>
            </c:strRef>
          </c:tx>
          <c:spPr>
            <a:solidFill>
              <a:srgbClr val="002060"/>
            </a:solidFill>
            <a:ln>
              <a:noFill/>
            </a:ln>
            <a:effectLst/>
          </c:spPr>
          <c:invertIfNegative val="0"/>
          <c:dLbls>
            <c:dLbl>
              <c:idx val="7"/>
              <c:layout>
                <c:manualLayout>
                  <c:x val="5.6626631192534561E-3"/>
                  <c:y val="3.394525672503646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27B-4C9F-BA08-3DE79EF36B35}"/>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'Admin and Grad Rates'!$C$7:$C$14</c:f>
              <c:strCache>
                <c:ptCount val="8"/>
                <c:pt idx="0">
                  <c:v>White or Caucasian</c:v>
                </c:pt>
                <c:pt idx="1">
                  <c:v>Black or African-American</c:v>
                </c:pt>
                <c:pt idx="2">
                  <c:v>American Indian or Alaska Native</c:v>
                </c:pt>
                <c:pt idx="3">
                  <c:v>Asian</c:v>
                </c:pt>
                <c:pt idx="4">
                  <c:v>Pacific Islander</c:v>
                </c:pt>
                <c:pt idx="5">
                  <c:v>Blended Race</c:v>
                </c:pt>
                <c:pt idx="6">
                  <c:v>Other</c:v>
                </c:pt>
                <c:pt idx="7">
                  <c:v>Total</c:v>
                </c:pt>
              </c:strCache>
            </c:strRef>
          </c:cat>
          <c:val>
            <c:numRef>
              <c:f>'Admin and Grad Rates'!$H$7:$H$14</c:f>
              <c:numCache>
                <c:formatCode>??0%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0-3F0C-4FB7-85D4-A117BE4B4EA1}"/>
            </c:ext>
          </c:extLst>
        </c:ser>
        <c:ser>
          <c:idx val="1"/>
          <c:order val="1"/>
          <c:tx>
            <c:strRef>
              <c:f>'Admin and Grad Rates'!$I$5:$I$6</c:f>
              <c:strCache>
                <c:ptCount val="2"/>
                <c:pt idx="0">
                  <c:v>Graduation
Rate</c:v>
                </c:pt>
              </c:strCache>
            </c:strRef>
          </c:tx>
          <c:spPr>
            <a:solidFill>
              <a:schemeClr val="bg1">
                <a:lumMod val="75000"/>
              </a:schemeClr>
            </a:solidFill>
            <a:ln>
              <a:noFill/>
            </a:ln>
            <a:effectLst/>
          </c:spPr>
          <c:invertIfNegative val="0"/>
          <c:dLbls>
            <c:dLbl>
              <c:idx val="7"/>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27B-4C9F-BA08-3DE79EF36B35}"/>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'Admin and Grad Rates'!$C$7:$C$14</c:f>
              <c:strCache>
                <c:ptCount val="8"/>
                <c:pt idx="0">
                  <c:v>White or Caucasian</c:v>
                </c:pt>
                <c:pt idx="1">
                  <c:v>Black or African-American</c:v>
                </c:pt>
                <c:pt idx="2">
                  <c:v>American Indian or Alaska Native</c:v>
                </c:pt>
                <c:pt idx="3">
                  <c:v>Asian</c:v>
                </c:pt>
                <c:pt idx="4">
                  <c:v>Pacific Islander</c:v>
                </c:pt>
                <c:pt idx="5">
                  <c:v>Blended Race</c:v>
                </c:pt>
                <c:pt idx="6">
                  <c:v>Other</c:v>
                </c:pt>
                <c:pt idx="7">
                  <c:v>Total</c:v>
                </c:pt>
              </c:strCache>
            </c:strRef>
          </c:cat>
          <c:val>
            <c:numRef>
              <c:f>'Admin and Grad Rates'!$I$7:$I$14</c:f>
              <c:numCache>
                <c:formatCode>??0%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1-3F0C-4FB7-85D4-A117BE4B4EA1}"/>
            </c:ext>
          </c:extLst>
        </c:ser>
        <c:dLbls>
          <c:showLegendKey val="0"/>
          <c:showVal val="0"/>
          <c:showCatName val="0"/>
          <c:showSerName val="0"/>
          <c:showPercent val="0"/>
          <c:showBubbleSize val="0"/>
        </c:dLbls>
        <c:gapWidth val="100"/>
        <c:axId val="508383536"/>
        <c:axId val="508379224"/>
      </c:barChart>
      <c:catAx>
        <c:axId val="508383536"/>
        <c:scaling>
          <c:orientation val="maxMin"/>
        </c:scaling>
        <c:delete val="1"/>
        <c:axPos val="l"/>
        <c:numFmt formatCode="General" sourceLinked="1"/>
        <c:majorTickMark val="none"/>
        <c:minorTickMark val="none"/>
        <c:tickLblPos val="nextTo"/>
        <c:crossAx val="508379224"/>
        <c:crosses val="autoZero"/>
        <c:auto val="1"/>
        <c:lblAlgn val="ctr"/>
        <c:lblOffset val="100"/>
        <c:noMultiLvlLbl val="0"/>
      </c:catAx>
      <c:valAx>
        <c:axId val="508379224"/>
        <c:scaling>
          <c:orientation val="minMax"/>
          <c:max val="1.25"/>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n-US"/>
          </a:p>
        </c:txPr>
        <c:crossAx val="508383536"/>
        <c:crosses val="autoZero"/>
        <c:crossBetween val="between"/>
        <c:majorUnit val="0.25"/>
      </c:valAx>
      <c:spPr>
        <a:noFill/>
        <a:ln>
          <a:noFill/>
        </a:ln>
        <a:effectLst/>
      </c:spPr>
    </c:plotArea>
    <c:legend>
      <c:legendPos val="b"/>
      <c:layout>
        <c:manualLayout>
          <c:xMode val="edge"/>
          <c:yMode val="edge"/>
          <c:x val="0.76032068959040133"/>
          <c:y val="0.38985964682885238"/>
          <c:w val="0.1932886932866503"/>
          <c:h val="0.29944382526898672"/>
        </c:manualLayout>
      </c:layout>
      <c:overlay val="0"/>
      <c:spPr>
        <a:noFill/>
        <a:ln>
          <a:noFill/>
        </a:ln>
        <a:effectLst/>
      </c:spPr>
      <c:txPr>
        <a:bodyPr rot="0" spcFirstLastPara="1" vertOverflow="ellipsis" vert="horz" wrap="square" anchor="ctr" anchorCtr="1"/>
        <a:lstStyle/>
        <a:p>
          <a:pPr>
            <a:defRPr sz="1000" b="1" i="0" u="none" strike="noStrike" kern="1200" baseline="0">
              <a:solidFill>
                <a:schemeClr val="tx1"/>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1937445319335081E-2"/>
          <c:y val="0.10318642461358998"/>
          <c:w val="0.91827777777777775"/>
          <c:h val="0.88350284339457563"/>
        </c:manualLayout>
      </c:layout>
      <c:barChart>
        <c:barDir val="bar"/>
        <c:grouping val="clustered"/>
        <c:varyColors val="0"/>
        <c:ser>
          <c:idx val="0"/>
          <c:order val="0"/>
          <c:tx>
            <c:strRef>
              <c:f>'Admin and Grad Rates'!$H$17:$H$18</c:f>
              <c:strCache>
                <c:ptCount val="2"/>
                <c:pt idx="0">
                  <c:v>Admission
Rate</c:v>
                </c:pt>
              </c:strCache>
            </c:strRef>
          </c:tx>
          <c:spPr>
            <a:solidFill>
              <a:srgbClr val="002060"/>
            </a:solidFill>
            <a:ln>
              <a:noFill/>
            </a:ln>
            <a:effectLst/>
          </c:spPr>
          <c:invertIfNegative val="0"/>
          <c:dLbls>
            <c:dLbl>
              <c:idx val="2"/>
              <c:layout>
                <c:manualLayout>
                  <c:x val="8.5744899247491811E-3"/>
                  <c:y val="2.222222222222211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9D47-4640-932F-C9343DF7B0A0}"/>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'Admin and Grad Rates'!$C$19:$C$21</c:f>
              <c:strCache>
                <c:ptCount val="3"/>
                <c:pt idx="0">
                  <c:v>Hispanic or Latinx</c:v>
                </c:pt>
                <c:pt idx="1">
                  <c:v>Not Hispanic or Latinx</c:v>
                </c:pt>
                <c:pt idx="2">
                  <c:v>Total</c:v>
                </c:pt>
              </c:strCache>
            </c:strRef>
          </c:cat>
          <c:val>
            <c:numRef>
              <c:f>'Admin and Grad Rates'!$H$19:$H$21</c:f>
              <c:numCache>
                <c:formatCode>??0%</c:formatCode>
                <c:ptCount val="3"/>
                <c:pt idx="0">
                  <c:v>0</c:v>
                </c:pt>
                <c:pt idx="1">
                  <c:v>0</c:v>
                </c:pt>
                <c:pt idx="2">
                  <c:v>0</c:v>
                </c:pt>
              </c:numCache>
            </c:numRef>
          </c:val>
          <c:extLst>
            <c:ext xmlns:c16="http://schemas.microsoft.com/office/drawing/2014/chart" uri="{C3380CC4-5D6E-409C-BE32-E72D297353CC}">
              <c16:uniqueId val="{00000001-9D47-4640-932F-C9343DF7B0A0}"/>
            </c:ext>
          </c:extLst>
        </c:ser>
        <c:ser>
          <c:idx val="1"/>
          <c:order val="1"/>
          <c:tx>
            <c:strRef>
              <c:f>'Admin and Grad Rates'!$I$17:$I$18</c:f>
              <c:strCache>
                <c:ptCount val="2"/>
                <c:pt idx="0">
                  <c:v>Graduation
Rate</c:v>
                </c:pt>
              </c:strCache>
            </c:strRef>
          </c:tx>
          <c:spPr>
            <a:solidFill>
              <a:schemeClr val="bg1">
                <a:lumMod val="75000"/>
              </a:schemeClr>
            </a:solidFill>
            <a:ln>
              <a:noFill/>
            </a:ln>
            <a:effectLst/>
          </c:spPr>
          <c:invertIfNegative val="0"/>
          <c:dLbls>
            <c:dLbl>
              <c:idx val="2"/>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9D47-4640-932F-C9343DF7B0A0}"/>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'Admin and Grad Rates'!$C$19:$C$21</c:f>
              <c:strCache>
                <c:ptCount val="3"/>
                <c:pt idx="0">
                  <c:v>Hispanic or Latinx</c:v>
                </c:pt>
                <c:pt idx="1">
                  <c:v>Not Hispanic or Latinx</c:v>
                </c:pt>
                <c:pt idx="2">
                  <c:v>Total</c:v>
                </c:pt>
              </c:strCache>
            </c:strRef>
          </c:cat>
          <c:val>
            <c:numRef>
              <c:f>'Admin and Grad Rates'!$I$19:$I$21</c:f>
              <c:numCache>
                <c:formatCode>??0%</c:formatCode>
                <c:ptCount val="3"/>
                <c:pt idx="0">
                  <c:v>0</c:v>
                </c:pt>
                <c:pt idx="1">
                  <c:v>0</c:v>
                </c:pt>
                <c:pt idx="2">
                  <c:v>0</c:v>
                </c:pt>
              </c:numCache>
            </c:numRef>
          </c:val>
          <c:extLst>
            <c:ext xmlns:c16="http://schemas.microsoft.com/office/drawing/2014/chart" uri="{C3380CC4-5D6E-409C-BE32-E72D297353CC}">
              <c16:uniqueId val="{00000004-9D47-4640-932F-C9343DF7B0A0}"/>
            </c:ext>
          </c:extLst>
        </c:ser>
        <c:dLbls>
          <c:showLegendKey val="0"/>
          <c:showVal val="0"/>
          <c:showCatName val="0"/>
          <c:showSerName val="0"/>
          <c:showPercent val="0"/>
          <c:showBubbleSize val="0"/>
        </c:dLbls>
        <c:gapWidth val="100"/>
        <c:axId val="508382360"/>
        <c:axId val="508381576"/>
      </c:barChart>
      <c:catAx>
        <c:axId val="508382360"/>
        <c:scaling>
          <c:orientation val="maxMin"/>
        </c:scaling>
        <c:delete val="1"/>
        <c:axPos val="l"/>
        <c:numFmt formatCode="General" sourceLinked="1"/>
        <c:majorTickMark val="none"/>
        <c:minorTickMark val="none"/>
        <c:tickLblPos val="nextTo"/>
        <c:crossAx val="508381576"/>
        <c:crosses val="autoZero"/>
        <c:auto val="1"/>
        <c:lblAlgn val="ctr"/>
        <c:lblOffset val="100"/>
        <c:noMultiLvlLbl val="0"/>
      </c:catAx>
      <c:valAx>
        <c:axId val="508381576"/>
        <c:scaling>
          <c:orientation val="minMax"/>
          <c:max val="1.25"/>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n-US"/>
          </a:p>
        </c:txPr>
        <c:crossAx val="508382360"/>
        <c:crosses val="autoZero"/>
        <c:crossBetween val="between"/>
        <c:majorUnit val="0.25"/>
      </c:valAx>
      <c:spPr>
        <a:noFill/>
        <a:ln>
          <a:noFill/>
        </a:ln>
        <a:effectLst/>
      </c:spPr>
    </c:plotArea>
    <c:legend>
      <c:legendPos val="b"/>
      <c:layout>
        <c:manualLayout>
          <c:xMode val="edge"/>
          <c:yMode val="edge"/>
          <c:x val="0.75458617058553867"/>
          <c:y val="0.23967397609931546"/>
          <c:w val="0.19396688986596566"/>
          <c:h val="0.63487467786110319"/>
        </c:manualLayout>
      </c:layout>
      <c:overlay val="0"/>
      <c:spPr>
        <a:noFill/>
        <a:ln>
          <a:noFill/>
        </a:ln>
        <a:effectLst/>
      </c:spPr>
      <c:txPr>
        <a:bodyPr rot="0" spcFirstLastPara="1" vertOverflow="ellipsis" vert="horz" wrap="square" anchor="ctr" anchorCtr="1"/>
        <a:lstStyle/>
        <a:p>
          <a:pPr>
            <a:defRPr sz="1000" b="1" i="0" u="none" strike="noStrike" kern="1200" baseline="0">
              <a:solidFill>
                <a:schemeClr val="tx1"/>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2861676373544389E-2"/>
          <c:y val="0.11424625193167415"/>
          <c:w val="0.9212434225672923"/>
          <c:h val="0.87244310351509191"/>
        </c:manualLayout>
      </c:layout>
      <c:barChart>
        <c:barDir val="bar"/>
        <c:grouping val="clustered"/>
        <c:varyColors val="0"/>
        <c:ser>
          <c:idx val="0"/>
          <c:order val="0"/>
          <c:tx>
            <c:strRef>
              <c:f>'Admin and Grad Rates'!$H$26:$H$27</c:f>
              <c:strCache>
                <c:ptCount val="2"/>
                <c:pt idx="0">
                  <c:v>Admission
Rate</c:v>
                </c:pt>
              </c:strCache>
            </c:strRef>
          </c:tx>
          <c:spPr>
            <a:solidFill>
              <a:srgbClr val="002060"/>
            </a:solidFill>
            <a:ln>
              <a:noFill/>
            </a:ln>
            <a:effectLst/>
          </c:spPr>
          <c:invertIfNegative val="0"/>
          <c:dLbls>
            <c:dLbl>
              <c:idx val="6"/>
              <c:layout>
                <c:manualLayout>
                  <c:x val="1.9988169135752132E-2"/>
                  <c:y val="2.5998403029240294E-2"/>
                </c:manualLayout>
              </c:layout>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291-4FD9-B76B-5E635616A0F7}"/>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'Admin and Grad Rates'!$C$28:$C$34</c:f>
              <c:strCache>
                <c:ptCount val="7"/>
                <c:pt idx="0">
                  <c:v>Male</c:v>
                </c:pt>
                <c:pt idx="1">
                  <c:v>Female</c:v>
                </c:pt>
                <c:pt idx="2">
                  <c:v>Transgender Female</c:v>
                </c:pt>
                <c:pt idx="3">
                  <c:v>Transgender Male</c:v>
                </c:pt>
                <c:pt idx="4">
                  <c:v>Gender Fluid</c:v>
                </c:pt>
                <c:pt idx="5">
                  <c:v>Agender</c:v>
                </c:pt>
                <c:pt idx="6">
                  <c:v>Total</c:v>
                </c:pt>
              </c:strCache>
            </c:strRef>
          </c:cat>
          <c:val>
            <c:numRef>
              <c:f>'Admin and Grad Rates'!$H$28:$H$34</c:f>
              <c:numCache>
                <c:formatCode>??0%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1-AAA8-44B2-9B9F-08E99779B9BE}"/>
            </c:ext>
          </c:extLst>
        </c:ser>
        <c:ser>
          <c:idx val="1"/>
          <c:order val="1"/>
          <c:tx>
            <c:strRef>
              <c:f>'Admin and Grad Rates'!$I$26:$I$27</c:f>
              <c:strCache>
                <c:ptCount val="2"/>
                <c:pt idx="0">
                  <c:v>Graduation
Rate</c:v>
                </c:pt>
              </c:strCache>
            </c:strRef>
          </c:tx>
          <c:spPr>
            <a:solidFill>
              <a:schemeClr val="bg1">
                <a:lumMod val="75000"/>
              </a:schemeClr>
            </a:solidFill>
            <a:ln>
              <a:noFill/>
            </a:ln>
            <a:effectLst/>
          </c:spPr>
          <c:invertIfNegative val="0"/>
          <c:dLbls>
            <c:dLbl>
              <c:idx val="6"/>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291-4FD9-B76B-5E635616A0F7}"/>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'Admin and Grad Rates'!$C$28:$C$34</c:f>
              <c:strCache>
                <c:ptCount val="7"/>
                <c:pt idx="0">
                  <c:v>Male</c:v>
                </c:pt>
                <c:pt idx="1">
                  <c:v>Female</c:v>
                </c:pt>
                <c:pt idx="2">
                  <c:v>Transgender Female</c:v>
                </c:pt>
                <c:pt idx="3">
                  <c:v>Transgender Male</c:v>
                </c:pt>
                <c:pt idx="4">
                  <c:v>Gender Fluid</c:v>
                </c:pt>
                <c:pt idx="5">
                  <c:v>Agender</c:v>
                </c:pt>
                <c:pt idx="6">
                  <c:v>Total</c:v>
                </c:pt>
              </c:strCache>
            </c:strRef>
          </c:cat>
          <c:val>
            <c:numRef>
              <c:f>'Admin and Grad Rates'!$I$28:$I$34</c:f>
              <c:numCache>
                <c:formatCode>??0%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4-AAA8-44B2-9B9F-08E99779B9BE}"/>
            </c:ext>
          </c:extLst>
        </c:ser>
        <c:dLbls>
          <c:showLegendKey val="0"/>
          <c:showVal val="0"/>
          <c:showCatName val="0"/>
          <c:showSerName val="0"/>
          <c:showPercent val="0"/>
          <c:showBubbleSize val="0"/>
        </c:dLbls>
        <c:gapWidth val="100"/>
        <c:axId val="508384712"/>
        <c:axId val="508380400"/>
      </c:barChart>
      <c:catAx>
        <c:axId val="508384712"/>
        <c:scaling>
          <c:orientation val="maxMin"/>
        </c:scaling>
        <c:delete val="1"/>
        <c:axPos val="l"/>
        <c:numFmt formatCode="General" sourceLinked="1"/>
        <c:majorTickMark val="none"/>
        <c:minorTickMark val="none"/>
        <c:tickLblPos val="nextTo"/>
        <c:crossAx val="508380400"/>
        <c:crosses val="autoZero"/>
        <c:auto val="1"/>
        <c:lblAlgn val="ctr"/>
        <c:lblOffset val="100"/>
        <c:noMultiLvlLbl val="0"/>
      </c:catAx>
      <c:valAx>
        <c:axId val="508380400"/>
        <c:scaling>
          <c:orientation val="minMax"/>
          <c:max val="1.25"/>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n-US"/>
          </a:p>
        </c:txPr>
        <c:crossAx val="508384712"/>
        <c:crosses val="autoZero"/>
        <c:crossBetween val="between"/>
        <c:majorUnit val="0.25"/>
      </c:valAx>
      <c:spPr>
        <a:noFill/>
        <a:ln>
          <a:noFill/>
        </a:ln>
        <a:effectLst/>
      </c:spPr>
    </c:plotArea>
    <c:legend>
      <c:legendPos val="b"/>
      <c:layout>
        <c:manualLayout>
          <c:xMode val="edge"/>
          <c:yMode val="edge"/>
          <c:x val="0.76607573452184496"/>
          <c:y val="0.2763668081172469"/>
          <c:w val="0.1796004333512331"/>
          <c:h val="0.41382701005196082"/>
        </c:manualLayout>
      </c:layout>
      <c:overlay val="0"/>
      <c:spPr>
        <a:noFill/>
        <a:ln>
          <a:noFill/>
        </a:ln>
        <a:effectLst/>
      </c:spPr>
      <c:txPr>
        <a:bodyPr rot="0" spcFirstLastPara="1" vertOverflow="ellipsis" vert="horz" wrap="square" anchor="ctr" anchorCtr="1"/>
        <a:lstStyle/>
        <a:p>
          <a:pPr>
            <a:defRPr sz="1000" b="1" i="0" u="none" strike="noStrike" kern="1200" baseline="0">
              <a:solidFill>
                <a:schemeClr val="tx1"/>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chart" Target="../charts/chart3.xml"/><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5.xml"/></Relationships>
</file>

<file path=xl/drawings/_rels/drawing4.xml.rels><?xml version="1.0" encoding="UTF-8" standalone="yes"?>
<Relationships xmlns="http://schemas.openxmlformats.org/package/2006/relationships"><Relationship Id="rId1" Type="http://schemas.openxmlformats.org/officeDocument/2006/relationships/chart" Target="../charts/chart6.xml"/></Relationships>
</file>

<file path=xl/drawings/_rels/drawing6.xml.rels><?xml version="1.0" encoding="UTF-8" standalone="yes"?>
<Relationships xmlns="http://schemas.openxmlformats.org/package/2006/relationships"><Relationship Id="rId3" Type="http://schemas.openxmlformats.org/officeDocument/2006/relationships/chart" Target="../charts/chart9.xml"/><Relationship Id="rId2" Type="http://schemas.openxmlformats.org/officeDocument/2006/relationships/chart" Target="../charts/chart8.xml"/><Relationship Id="rId1" Type="http://schemas.openxmlformats.org/officeDocument/2006/relationships/chart" Target="../charts/chart7.xml"/><Relationship Id="rId5" Type="http://schemas.openxmlformats.org/officeDocument/2006/relationships/chart" Target="../charts/chart11.xml"/><Relationship Id="rId4" Type="http://schemas.openxmlformats.org/officeDocument/2006/relationships/chart" Target="../charts/chart10.xml"/></Relationships>
</file>

<file path=xl/drawings/drawing1.xml><?xml version="1.0" encoding="utf-8"?>
<xdr:wsDr xmlns:xdr="http://schemas.openxmlformats.org/drawingml/2006/spreadsheetDrawing" xmlns:a="http://schemas.openxmlformats.org/drawingml/2006/main">
  <xdr:twoCellAnchor>
    <xdr:from>
      <xdr:col>2</xdr:col>
      <xdr:colOff>228601</xdr:colOff>
      <xdr:row>2</xdr:row>
      <xdr:rowOff>104775</xdr:rowOff>
    </xdr:from>
    <xdr:to>
      <xdr:col>12</xdr:col>
      <xdr:colOff>371475</xdr:colOff>
      <xdr:row>26</xdr:row>
      <xdr:rowOff>0</xdr:rowOff>
    </xdr:to>
    <xdr:graphicFrame macro="">
      <xdr:nvGraphicFramePr>
        <xdr:cNvPr id="2" name="Chart 1">
          <a:extLst>
            <a:ext uri="{FF2B5EF4-FFF2-40B4-BE49-F238E27FC236}">
              <a16:creationId xmlns:a16="http://schemas.microsoft.com/office/drawing/2014/main" id="{4F39139E-0E8E-4325-B55A-F77159B79B2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47625</xdr:colOff>
      <xdr:row>1</xdr:row>
      <xdr:rowOff>47624</xdr:rowOff>
    </xdr:from>
    <xdr:to>
      <xdr:col>12</xdr:col>
      <xdr:colOff>581025</xdr:colOff>
      <xdr:row>31</xdr:row>
      <xdr:rowOff>152399</xdr:rowOff>
    </xdr:to>
    <xdr:sp macro="" textlink="">
      <xdr:nvSpPr>
        <xdr:cNvPr id="3" name="Rectangle: Rounded Corners 2">
          <a:extLst>
            <a:ext uri="{FF2B5EF4-FFF2-40B4-BE49-F238E27FC236}">
              <a16:creationId xmlns:a16="http://schemas.microsoft.com/office/drawing/2014/main" id="{F3A2DE3C-D46A-4A3E-8CC8-4AEE286E908C}"/>
            </a:ext>
          </a:extLst>
        </xdr:cNvPr>
        <xdr:cNvSpPr/>
      </xdr:nvSpPr>
      <xdr:spPr>
        <a:xfrm>
          <a:off x="1266825" y="238124"/>
          <a:ext cx="6629400" cy="5819775"/>
        </a:xfrm>
        <a:prstGeom prst="roundRect">
          <a:avLst>
            <a:gd name="adj" fmla="val 4772"/>
          </a:avLst>
        </a:prstGeom>
        <a:noFill/>
        <a:ln w="38100">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0</xdr:colOff>
      <xdr:row>40</xdr:row>
      <xdr:rowOff>1</xdr:rowOff>
    </xdr:from>
    <xdr:to>
      <xdr:col>6</xdr:col>
      <xdr:colOff>0</xdr:colOff>
      <xdr:row>41</xdr:row>
      <xdr:rowOff>104778</xdr:rowOff>
    </xdr:to>
    <xdr:sp macro="" textlink="">
      <xdr:nvSpPr>
        <xdr:cNvPr id="4" name="Right Brace 3">
          <a:extLst>
            <a:ext uri="{FF2B5EF4-FFF2-40B4-BE49-F238E27FC236}">
              <a16:creationId xmlns:a16="http://schemas.microsoft.com/office/drawing/2014/main" id="{DB8BE143-C468-4249-AAC4-8883883884EB}"/>
            </a:ext>
          </a:extLst>
        </xdr:cNvPr>
        <xdr:cNvSpPr/>
      </xdr:nvSpPr>
      <xdr:spPr>
        <a:xfrm rot="5400000">
          <a:off x="2376486" y="6738940"/>
          <a:ext cx="295277" cy="2438400"/>
        </a:xfrm>
        <a:prstGeom prst="rightBrac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247650</xdr:colOff>
      <xdr:row>2</xdr:row>
      <xdr:rowOff>57150</xdr:rowOff>
    </xdr:from>
    <xdr:to>
      <xdr:col>10</xdr:col>
      <xdr:colOff>314325</xdr:colOff>
      <xdr:row>19</xdr:row>
      <xdr:rowOff>28575</xdr:rowOff>
    </xdr:to>
    <xdr:graphicFrame macro="">
      <xdr:nvGraphicFramePr>
        <xdr:cNvPr id="3" name="Chart 2">
          <a:extLst>
            <a:ext uri="{FF2B5EF4-FFF2-40B4-BE49-F238E27FC236}">
              <a16:creationId xmlns:a16="http://schemas.microsoft.com/office/drawing/2014/main" id="{D55BE6A2-96F7-4616-9849-4DA6BE30C00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38100</xdr:colOff>
      <xdr:row>1</xdr:row>
      <xdr:rowOff>38101</xdr:rowOff>
    </xdr:from>
    <xdr:to>
      <xdr:col>10</xdr:col>
      <xdr:colOff>581025</xdr:colOff>
      <xdr:row>19</xdr:row>
      <xdr:rowOff>171450</xdr:rowOff>
    </xdr:to>
    <xdr:sp macro="" textlink="">
      <xdr:nvSpPr>
        <xdr:cNvPr id="4" name="Rectangle: Rounded Corners 3">
          <a:extLst>
            <a:ext uri="{FF2B5EF4-FFF2-40B4-BE49-F238E27FC236}">
              <a16:creationId xmlns:a16="http://schemas.microsoft.com/office/drawing/2014/main" id="{024969C0-0A02-4E6E-A1BC-8AFCE57441A1}"/>
            </a:ext>
          </a:extLst>
        </xdr:cNvPr>
        <xdr:cNvSpPr/>
      </xdr:nvSpPr>
      <xdr:spPr>
        <a:xfrm>
          <a:off x="647700" y="228601"/>
          <a:ext cx="6029325" cy="3562349"/>
        </a:xfrm>
        <a:prstGeom prst="roundRect">
          <a:avLst>
            <a:gd name="adj" fmla="val 8536"/>
          </a:avLst>
        </a:prstGeom>
        <a:noFill/>
        <a:ln w="38100">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219075</xdr:colOff>
      <xdr:row>22</xdr:row>
      <xdr:rowOff>76199</xdr:rowOff>
    </xdr:from>
    <xdr:to>
      <xdr:col>10</xdr:col>
      <xdr:colOff>276225</xdr:colOff>
      <xdr:row>38</xdr:row>
      <xdr:rowOff>133350</xdr:rowOff>
    </xdr:to>
    <xdr:graphicFrame macro="">
      <xdr:nvGraphicFramePr>
        <xdr:cNvPr id="5" name="Chart 4">
          <a:extLst>
            <a:ext uri="{FF2B5EF4-FFF2-40B4-BE49-F238E27FC236}">
              <a16:creationId xmlns:a16="http://schemas.microsoft.com/office/drawing/2014/main" id="{8EADE24A-ADBB-40D0-84AE-347A3784F1F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28575</xdr:colOff>
      <xdr:row>21</xdr:row>
      <xdr:rowOff>28575</xdr:rowOff>
    </xdr:from>
    <xdr:to>
      <xdr:col>10</xdr:col>
      <xdr:colOff>581025</xdr:colOff>
      <xdr:row>39</xdr:row>
      <xdr:rowOff>161925</xdr:rowOff>
    </xdr:to>
    <xdr:sp macro="" textlink="">
      <xdr:nvSpPr>
        <xdr:cNvPr id="6" name="Rectangle: Rounded Corners 5">
          <a:extLst>
            <a:ext uri="{FF2B5EF4-FFF2-40B4-BE49-F238E27FC236}">
              <a16:creationId xmlns:a16="http://schemas.microsoft.com/office/drawing/2014/main" id="{F9E6B5E0-2AC4-4873-B5ED-71CD6355D37D}"/>
            </a:ext>
          </a:extLst>
        </xdr:cNvPr>
        <xdr:cNvSpPr/>
      </xdr:nvSpPr>
      <xdr:spPr>
        <a:xfrm>
          <a:off x="638175" y="4029075"/>
          <a:ext cx="6038850" cy="3562350"/>
        </a:xfrm>
        <a:prstGeom prst="roundRect">
          <a:avLst>
            <a:gd name="adj" fmla="val 8536"/>
          </a:avLst>
        </a:prstGeom>
        <a:noFill/>
        <a:ln w="38100">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27385</xdr:colOff>
      <xdr:row>61</xdr:row>
      <xdr:rowOff>29768</xdr:rowOff>
    </xdr:from>
    <xdr:to>
      <xdr:col>2</xdr:col>
      <xdr:colOff>600075</xdr:colOff>
      <xdr:row>62</xdr:row>
      <xdr:rowOff>85725</xdr:rowOff>
    </xdr:to>
    <xdr:sp macro="" textlink="">
      <xdr:nvSpPr>
        <xdr:cNvPr id="7" name="Right Brace 6">
          <a:extLst>
            <a:ext uri="{FF2B5EF4-FFF2-40B4-BE49-F238E27FC236}">
              <a16:creationId xmlns:a16="http://schemas.microsoft.com/office/drawing/2014/main" id="{DFD56C27-BD6D-4072-96DC-B433B900A1EA}"/>
            </a:ext>
          </a:extLst>
        </xdr:cNvPr>
        <xdr:cNvSpPr/>
      </xdr:nvSpPr>
      <xdr:spPr>
        <a:xfrm rot="5400000">
          <a:off x="1409701" y="14859002"/>
          <a:ext cx="246457" cy="572690"/>
        </a:xfrm>
        <a:prstGeom prst="rightBrac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7</xdr:col>
      <xdr:colOff>190502</xdr:colOff>
      <xdr:row>43</xdr:row>
      <xdr:rowOff>161925</xdr:rowOff>
    </xdr:from>
    <xdr:to>
      <xdr:col>12</xdr:col>
      <xdr:colOff>552450</xdr:colOff>
      <xdr:row>57</xdr:row>
      <xdr:rowOff>466725</xdr:rowOff>
    </xdr:to>
    <xdr:cxnSp macro="">
      <xdr:nvCxnSpPr>
        <xdr:cNvPr id="8" name="Straight Arrow Connector 7">
          <a:extLst>
            <a:ext uri="{FF2B5EF4-FFF2-40B4-BE49-F238E27FC236}">
              <a16:creationId xmlns:a16="http://schemas.microsoft.com/office/drawing/2014/main" id="{55FC8B32-F7DC-4010-A40D-D1526E185C1F}"/>
            </a:ext>
          </a:extLst>
        </xdr:cNvPr>
        <xdr:cNvCxnSpPr/>
      </xdr:nvCxnSpPr>
      <xdr:spPr>
        <a:xfrm flipH="1">
          <a:off x="4543427" y="8353425"/>
          <a:ext cx="3009898" cy="5753100"/>
        </a:xfrm>
        <a:prstGeom prst="straightConnector1">
          <a:avLst/>
        </a:prstGeom>
        <a:ln w="317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180975</xdr:colOff>
      <xdr:row>1</xdr:row>
      <xdr:rowOff>47625</xdr:rowOff>
    </xdr:from>
    <xdr:to>
      <xdr:col>21</xdr:col>
      <xdr:colOff>600075</xdr:colOff>
      <xdr:row>19</xdr:row>
      <xdr:rowOff>180974</xdr:rowOff>
    </xdr:to>
    <xdr:sp macro="" textlink="">
      <xdr:nvSpPr>
        <xdr:cNvPr id="9" name="Rectangle: Rounded Corners 8">
          <a:extLst>
            <a:ext uri="{FF2B5EF4-FFF2-40B4-BE49-F238E27FC236}">
              <a16:creationId xmlns:a16="http://schemas.microsoft.com/office/drawing/2014/main" id="{1606A59C-6C0E-40A0-9E86-CC4D059F0694}"/>
            </a:ext>
          </a:extLst>
        </xdr:cNvPr>
        <xdr:cNvSpPr/>
      </xdr:nvSpPr>
      <xdr:spPr>
        <a:xfrm>
          <a:off x="6972300" y="238125"/>
          <a:ext cx="6115050" cy="3562349"/>
        </a:xfrm>
        <a:prstGeom prst="roundRect">
          <a:avLst>
            <a:gd name="adj" fmla="val 8536"/>
          </a:avLst>
        </a:prstGeom>
        <a:noFill/>
        <a:ln w="38100">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12</xdr:col>
      <xdr:colOff>180975</xdr:colOff>
      <xdr:row>2</xdr:row>
      <xdr:rowOff>28575</xdr:rowOff>
    </xdr:from>
    <xdr:to>
      <xdr:col>21</xdr:col>
      <xdr:colOff>371475</xdr:colOff>
      <xdr:row>18</xdr:row>
      <xdr:rowOff>104775</xdr:rowOff>
    </xdr:to>
    <xdr:graphicFrame macro="">
      <xdr:nvGraphicFramePr>
        <xdr:cNvPr id="2" name="Chart 1">
          <a:extLst>
            <a:ext uri="{FF2B5EF4-FFF2-40B4-BE49-F238E27FC236}">
              <a16:creationId xmlns:a16="http://schemas.microsoft.com/office/drawing/2014/main" id="{421B7BFC-D525-43FB-B344-342F07A9A47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xdr:col>
      <xdr:colOff>283845</xdr:colOff>
      <xdr:row>2</xdr:row>
      <xdr:rowOff>51435</xdr:rowOff>
    </xdr:from>
    <xdr:to>
      <xdr:col>12</xdr:col>
      <xdr:colOff>306704</xdr:colOff>
      <xdr:row>26</xdr:row>
      <xdr:rowOff>66675</xdr:rowOff>
    </xdr:to>
    <xdr:graphicFrame macro="">
      <xdr:nvGraphicFramePr>
        <xdr:cNvPr id="3" name="Chart 2">
          <a:extLst>
            <a:ext uri="{FF2B5EF4-FFF2-40B4-BE49-F238E27FC236}">
              <a16:creationId xmlns:a16="http://schemas.microsoft.com/office/drawing/2014/main" id="{B45A6DA6-A295-4C7E-8264-8EC13A8B943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22860</xdr:colOff>
      <xdr:row>1</xdr:row>
      <xdr:rowOff>22860</xdr:rowOff>
    </xdr:from>
    <xdr:to>
      <xdr:col>12</xdr:col>
      <xdr:colOff>586740</xdr:colOff>
      <xdr:row>27</xdr:row>
      <xdr:rowOff>152400</xdr:rowOff>
    </xdr:to>
    <xdr:sp macro="" textlink="">
      <xdr:nvSpPr>
        <xdr:cNvPr id="4" name="Rectangle: Rounded Corners 3">
          <a:extLst>
            <a:ext uri="{FF2B5EF4-FFF2-40B4-BE49-F238E27FC236}">
              <a16:creationId xmlns:a16="http://schemas.microsoft.com/office/drawing/2014/main" id="{A4A865B9-BB48-410F-91C9-F8BBCA4350AD}"/>
            </a:ext>
          </a:extLst>
        </xdr:cNvPr>
        <xdr:cNvSpPr/>
      </xdr:nvSpPr>
      <xdr:spPr>
        <a:xfrm>
          <a:off x="1242060" y="205740"/>
          <a:ext cx="7269480" cy="4884420"/>
        </a:xfrm>
        <a:prstGeom prst="roundRect">
          <a:avLst>
            <a:gd name="adj" fmla="val 8536"/>
          </a:avLst>
        </a:prstGeom>
        <a:noFill/>
        <a:ln w="38100">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7</xdr:col>
      <xdr:colOff>83344</xdr:colOff>
      <xdr:row>45</xdr:row>
      <xdr:rowOff>35719</xdr:rowOff>
    </xdr:from>
    <xdr:to>
      <xdr:col>7</xdr:col>
      <xdr:colOff>404813</xdr:colOff>
      <xdr:row>51</xdr:row>
      <xdr:rowOff>333375</xdr:rowOff>
    </xdr:to>
    <xdr:sp macro="" textlink="">
      <xdr:nvSpPr>
        <xdr:cNvPr id="2" name="Right Brace 1">
          <a:extLst>
            <a:ext uri="{FF2B5EF4-FFF2-40B4-BE49-F238E27FC236}">
              <a16:creationId xmlns:a16="http://schemas.microsoft.com/office/drawing/2014/main" id="{39420F76-BDCD-427F-BEA3-576358EECA20}"/>
            </a:ext>
          </a:extLst>
        </xdr:cNvPr>
        <xdr:cNvSpPr/>
      </xdr:nvSpPr>
      <xdr:spPr>
        <a:xfrm>
          <a:off x="4333875" y="10132219"/>
          <a:ext cx="321469" cy="2202656"/>
        </a:xfrm>
        <a:prstGeom prst="rightBrac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0</xdr:col>
      <xdr:colOff>59531</xdr:colOff>
      <xdr:row>44</xdr:row>
      <xdr:rowOff>178594</xdr:rowOff>
    </xdr:from>
    <xdr:to>
      <xdr:col>0</xdr:col>
      <xdr:colOff>583406</xdr:colOff>
      <xdr:row>44</xdr:row>
      <xdr:rowOff>178594</xdr:rowOff>
    </xdr:to>
    <xdr:cxnSp macro="">
      <xdr:nvCxnSpPr>
        <xdr:cNvPr id="6" name="Straight Arrow Connector 5">
          <a:extLst>
            <a:ext uri="{FF2B5EF4-FFF2-40B4-BE49-F238E27FC236}">
              <a16:creationId xmlns:a16="http://schemas.microsoft.com/office/drawing/2014/main" id="{E187AD67-8E01-49DD-9F12-0747A4E34C2D}"/>
            </a:ext>
          </a:extLst>
        </xdr:cNvPr>
        <xdr:cNvCxnSpPr/>
      </xdr:nvCxnSpPr>
      <xdr:spPr>
        <a:xfrm>
          <a:off x="59531" y="9894094"/>
          <a:ext cx="523875" cy="0"/>
        </a:xfrm>
        <a:prstGeom prst="straightConnector1">
          <a:avLst/>
        </a:prstGeom>
        <a:ln w="381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304800</xdr:colOff>
      <xdr:row>2</xdr:row>
      <xdr:rowOff>118110</xdr:rowOff>
    </xdr:from>
    <xdr:to>
      <xdr:col>12</xdr:col>
      <xdr:colOff>297180</xdr:colOff>
      <xdr:row>26</xdr:row>
      <xdr:rowOff>64770</xdr:rowOff>
    </xdr:to>
    <xdr:graphicFrame macro="">
      <xdr:nvGraphicFramePr>
        <xdr:cNvPr id="3" name="Chart 2">
          <a:extLst>
            <a:ext uri="{FF2B5EF4-FFF2-40B4-BE49-F238E27FC236}">
              <a16:creationId xmlns:a16="http://schemas.microsoft.com/office/drawing/2014/main" id="{9544B7C9-A995-4FEB-8A3F-C073F82C80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30479</xdr:colOff>
      <xdr:row>1</xdr:row>
      <xdr:rowOff>43815</xdr:rowOff>
    </xdr:from>
    <xdr:to>
      <xdr:col>12</xdr:col>
      <xdr:colOff>586740</xdr:colOff>
      <xdr:row>27</xdr:row>
      <xdr:rowOff>152400</xdr:rowOff>
    </xdr:to>
    <xdr:sp macro="" textlink="">
      <xdr:nvSpPr>
        <xdr:cNvPr id="4" name="Rectangle: Rounded Corners 3">
          <a:extLst>
            <a:ext uri="{FF2B5EF4-FFF2-40B4-BE49-F238E27FC236}">
              <a16:creationId xmlns:a16="http://schemas.microsoft.com/office/drawing/2014/main" id="{CA92238A-7FD8-4040-852D-BDB3DB04D286}"/>
            </a:ext>
          </a:extLst>
        </xdr:cNvPr>
        <xdr:cNvSpPr/>
      </xdr:nvSpPr>
      <xdr:spPr>
        <a:xfrm>
          <a:off x="640079" y="234315"/>
          <a:ext cx="7261861" cy="5061585"/>
        </a:xfrm>
        <a:prstGeom prst="roundRect">
          <a:avLst>
            <a:gd name="adj" fmla="val 8536"/>
          </a:avLst>
        </a:prstGeom>
        <a:noFill/>
        <a:ln w="38100">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38101</xdr:colOff>
      <xdr:row>1</xdr:row>
      <xdr:rowOff>28575</xdr:rowOff>
    </xdr:from>
    <xdr:to>
      <xdr:col>7</xdr:col>
      <xdr:colOff>285750</xdr:colOff>
      <xdr:row>37</xdr:row>
      <xdr:rowOff>161925</xdr:rowOff>
    </xdr:to>
    <xdr:sp macro="" textlink="">
      <xdr:nvSpPr>
        <xdr:cNvPr id="2" name="Rectangle: Rounded Corners 1">
          <a:extLst>
            <a:ext uri="{FF2B5EF4-FFF2-40B4-BE49-F238E27FC236}">
              <a16:creationId xmlns:a16="http://schemas.microsoft.com/office/drawing/2014/main" id="{68CA00A7-FA83-4186-9698-5108CCFDE843}"/>
            </a:ext>
          </a:extLst>
        </xdr:cNvPr>
        <xdr:cNvSpPr/>
      </xdr:nvSpPr>
      <xdr:spPr>
        <a:xfrm>
          <a:off x="647701" y="219075"/>
          <a:ext cx="6962774" cy="7258050"/>
        </a:xfrm>
        <a:prstGeom prst="roundRect">
          <a:avLst>
            <a:gd name="adj" fmla="val 4979"/>
          </a:avLst>
        </a:prstGeom>
        <a:noFill/>
        <a:ln w="38100">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8</xdr:col>
      <xdr:colOff>842962</xdr:colOff>
      <xdr:row>4</xdr:row>
      <xdr:rowOff>201084</xdr:rowOff>
    </xdr:from>
    <xdr:to>
      <xdr:col>16</xdr:col>
      <xdr:colOff>171450</xdr:colOff>
      <xdr:row>14</xdr:row>
      <xdr:rowOff>52918</xdr:rowOff>
    </xdr:to>
    <xdr:graphicFrame macro="">
      <xdr:nvGraphicFramePr>
        <xdr:cNvPr id="9" name="Chart 8">
          <a:extLst>
            <a:ext uri="{FF2B5EF4-FFF2-40B4-BE49-F238E27FC236}">
              <a16:creationId xmlns:a16="http://schemas.microsoft.com/office/drawing/2014/main" id="{A4863866-3554-4706-9559-BB5B0C3941E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9525</xdr:colOff>
      <xdr:row>17</xdr:row>
      <xdr:rowOff>9526</xdr:rowOff>
    </xdr:from>
    <xdr:to>
      <xdr:col>16</xdr:col>
      <xdr:colOff>185738</xdr:colOff>
      <xdr:row>21</xdr:row>
      <xdr:rowOff>10583</xdr:rowOff>
    </xdr:to>
    <xdr:graphicFrame macro="">
      <xdr:nvGraphicFramePr>
        <xdr:cNvPr id="10" name="Chart 9">
          <a:extLst>
            <a:ext uri="{FF2B5EF4-FFF2-40B4-BE49-F238E27FC236}">
              <a16:creationId xmlns:a16="http://schemas.microsoft.com/office/drawing/2014/main" id="{BA24A408-AE9C-47E2-B722-E9826EBEF80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9525</xdr:colOff>
      <xdr:row>25</xdr:row>
      <xdr:rowOff>190500</xdr:rowOff>
    </xdr:from>
    <xdr:to>
      <xdr:col>16</xdr:col>
      <xdr:colOff>185738</xdr:colOff>
      <xdr:row>34</xdr:row>
      <xdr:rowOff>42333</xdr:rowOff>
    </xdr:to>
    <xdr:graphicFrame macro="">
      <xdr:nvGraphicFramePr>
        <xdr:cNvPr id="11" name="Chart 10">
          <a:extLst>
            <a:ext uri="{FF2B5EF4-FFF2-40B4-BE49-F238E27FC236}">
              <a16:creationId xmlns:a16="http://schemas.microsoft.com/office/drawing/2014/main" id="{4F3C324F-AAA7-428B-96DE-48142DF2DE4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9</xdr:col>
      <xdr:colOff>0</xdr:colOff>
      <xdr:row>44</xdr:row>
      <xdr:rowOff>0</xdr:rowOff>
    </xdr:from>
    <xdr:to>
      <xdr:col>16</xdr:col>
      <xdr:colOff>180975</xdr:colOff>
      <xdr:row>50</xdr:row>
      <xdr:rowOff>19050</xdr:rowOff>
    </xdr:to>
    <xdr:graphicFrame macro="">
      <xdr:nvGraphicFramePr>
        <xdr:cNvPr id="12" name="Chart 11">
          <a:extLst>
            <a:ext uri="{FF2B5EF4-FFF2-40B4-BE49-F238E27FC236}">
              <a16:creationId xmlns:a16="http://schemas.microsoft.com/office/drawing/2014/main" id="{0C22FF01-4D92-46CD-9101-F8FA3A99A1F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47626</xdr:colOff>
      <xdr:row>1</xdr:row>
      <xdr:rowOff>38100</xdr:rowOff>
    </xdr:from>
    <xdr:to>
      <xdr:col>16</xdr:col>
      <xdr:colOff>342901</xdr:colOff>
      <xdr:row>21</xdr:row>
      <xdr:rowOff>190500</xdr:rowOff>
    </xdr:to>
    <xdr:sp macro="" textlink="">
      <xdr:nvSpPr>
        <xdr:cNvPr id="6" name="Rectangle: Rounded Corners 5">
          <a:extLst>
            <a:ext uri="{FF2B5EF4-FFF2-40B4-BE49-F238E27FC236}">
              <a16:creationId xmlns:a16="http://schemas.microsoft.com/office/drawing/2014/main" id="{73526C23-6B01-45C1-A87D-521059653777}"/>
            </a:ext>
          </a:extLst>
        </xdr:cNvPr>
        <xdr:cNvSpPr/>
      </xdr:nvSpPr>
      <xdr:spPr>
        <a:xfrm>
          <a:off x="657226" y="228600"/>
          <a:ext cx="11430000" cy="5410200"/>
        </a:xfrm>
        <a:prstGeom prst="roundRect">
          <a:avLst>
            <a:gd name="adj" fmla="val 4979"/>
          </a:avLst>
        </a:prstGeom>
        <a:noFill/>
        <a:ln w="38100">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47625</xdr:colOff>
      <xdr:row>22</xdr:row>
      <xdr:rowOff>47624</xdr:rowOff>
    </xdr:from>
    <xdr:to>
      <xdr:col>16</xdr:col>
      <xdr:colOff>342900</xdr:colOff>
      <xdr:row>50</xdr:row>
      <xdr:rowOff>152399</xdr:rowOff>
    </xdr:to>
    <xdr:sp macro="" textlink="">
      <xdr:nvSpPr>
        <xdr:cNvPr id="7" name="Rectangle: Rounded Corners 6">
          <a:extLst>
            <a:ext uri="{FF2B5EF4-FFF2-40B4-BE49-F238E27FC236}">
              <a16:creationId xmlns:a16="http://schemas.microsoft.com/office/drawing/2014/main" id="{3839F829-7601-41B4-A266-E18D42E82223}"/>
            </a:ext>
          </a:extLst>
        </xdr:cNvPr>
        <xdr:cNvSpPr/>
      </xdr:nvSpPr>
      <xdr:spPr>
        <a:xfrm>
          <a:off x="657225" y="5724524"/>
          <a:ext cx="11430000" cy="5819775"/>
        </a:xfrm>
        <a:prstGeom prst="roundRect">
          <a:avLst>
            <a:gd name="adj" fmla="val 4979"/>
          </a:avLst>
        </a:prstGeom>
        <a:noFill/>
        <a:ln w="38100">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9</xdr:col>
      <xdr:colOff>0</xdr:colOff>
      <xdr:row>36</xdr:row>
      <xdr:rowOff>0</xdr:rowOff>
    </xdr:from>
    <xdr:to>
      <xdr:col>16</xdr:col>
      <xdr:colOff>179917</xdr:colOff>
      <xdr:row>42</xdr:row>
      <xdr:rowOff>10583</xdr:rowOff>
    </xdr:to>
    <xdr:graphicFrame macro="">
      <xdr:nvGraphicFramePr>
        <xdr:cNvPr id="14" name="Chart 13">
          <a:extLst>
            <a:ext uri="{FF2B5EF4-FFF2-40B4-BE49-F238E27FC236}">
              <a16:creationId xmlns:a16="http://schemas.microsoft.com/office/drawing/2014/main" id="{33239FE8-D1ED-4BA5-9AB2-91314171CB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pageSetUpPr fitToPage="1"/>
  </sheetPr>
  <dimension ref="A1:AK421"/>
  <sheetViews>
    <sheetView showGridLines="0" tabSelected="1" zoomScaleNormal="100" workbookViewId="0">
      <pane xSplit="2" ySplit="2" topLeftCell="C3" activePane="bottomRight" state="frozen"/>
      <selection pane="topRight" activeCell="C1" sqref="C1"/>
      <selection pane="bottomLeft" activeCell="A2" sqref="A2"/>
      <selection pane="bottomRight" activeCell="B2" sqref="B2"/>
    </sheetView>
  </sheetViews>
  <sheetFormatPr defaultColWidth="9.1796875" defaultRowHeight="14.5" x14ac:dyDescent="0.35"/>
  <cols>
    <col min="1" max="1" width="7.1796875" style="1" customWidth="1"/>
    <col min="2" max="2" width="20" style="1" bestFit="1" customWidth="1"/>
    <col min="3" max="3" width="14" style="2" bestFit="1" customWidth="1"/>
    <col min="4" max="4" width="15.1796875" style="2" bestFit="1" customWidth="1"/>
    <col min="5" max="5" width="20.1796875" style="2" bestFit="1" customWidth="1"/>
    <col min="6" max="6" width="8.54296875" style="24" customWidth="1"/>
    <col min="7" max="7" width="27" style="1" bestFit="1" customWidth="1"/>
    <col min="8" max="8" width="19.7265625" style="1" customWidth="1"/>
    <col min="9" max="9" width="22.81640625" style="8" bestFit="1" customWidth="1"/>
    <col min="10" max="10" width="30.81640625" style="1" bestFit="1" customWidth="1"/>
    <col min="11" max="12" width="30.81640625" style="8" customWidth="1"/>
    <col min="13" max="13" width="17.7265625" style="1" customWidth="1"/>
    <col min="14" max="14" width="20.54296875" style="1" bestFit="1" customWidth="1"/>
    <col min="15" max="15" width="9.453125" style="1" bestFit="1" customWidth="1"/>
    <col min="16" max="16" width="52.81640625" style="4" customWidth="1"/>
    <col min="17" max="17" width="41.26953125" style="4" customWidth="1"/>
    <col min="18" max="18" width="14.7265625" style="2" bestFit="1" customWidth="1"/>
    <col min="19" max="19" width="12.453125" style="1" bestFit="1" customWidth="1"/>
    <col min="20" max="20" width="14.7265625" style="2" bestFit="1" customWidth="1"/>
    <col min="21" max="21" width="13.81640625" style="2" bestFit="1" customWidth="1"/>
    <col min="22" max="23" width="55.26953125" style="4" customWidth="1"/>
    <col min="24" max="24" width="10.7265625" style="2" bestFit="1" customWidth="1"/>
    <col min="25" max="25" width="2.7265625" style="317" customWidth="1"/>
    <col min="26" max="26" width="9.1796875" style="317" customWidth="1"/>
    <col min="27" max="27" width="60.1796875" style="317" customWidth="1"/>
    <col min="28" max="28" width="7.7265625" style="181" customWidth="1"/>
    <col min="29" max="33" width="6.7265625" style="8" customWidth="1"/>
    <col min="34" max="34" width="77.26953125" style="4" bestFit="1" customWidth="1"/>
    <col min="35" max="35" width="64.1796875" style="4" bestFit="1" customWidth="1"/>
    <col min="36" max="16384" width="9.1796875" style="4"/>
  </cols>
  <sheetData>
    <row r="1" spans="1:35" x14ac:dyDescent="0.35">
      <c r="A1" s="30"/>
      <c r="B1" s="171" t="s">
        <v>102</v>
      </c>
      <c r="C1" s="395" t="s">
        <v>103</v>
      </c>
      <c r="D1" s="395"/>
      <c r="E1" s="395"/>
      <c r="F1" s="400" t="s">
        <v>104</v>
      </c>
      <c r="G1" s="401"/>
      <c r="H1" s="401"/>
      <c r="I1" s="402"/>
      <c r="J1" s="396" t="s">
        <v>105</v>
      </c>
      <c r="K1" s="395"/>
      <c r="L1" s="395"/>
      <c r="M1" s="395"/>
      <c r="N1" s="397"/>
      <c r="O1" s="395" t="s">
        <v>76</v>
      </c>
      <c r="P1" s="395"/>
      <c r="Q1" s="395"/>
      <c r="R1" s="395"/>
      <c r="S1" s="395"/>
      <c r="T1" s="395"/>
      <c r="U1" s="395"/>
      <c r="V1" s="395"/>
      <c r="W1" s="395"/>
      <c r="X1" s="395"/>
      <c r="Y1" s="86"/>
      <c r="Z1" s="116"/>
      <c r="AA1" s="182"/>
      <c r="AB1" s="43"/>
      <c r="AC1" s="124">
        <v>1</v>
      </c>
      <c r="AD1" s="124">
        <v>2</v>
      </c>
      <c r="AE1" s="124">
        <v>3</v>
      </c>
      <c r="AF1" s="124">
        <v>4</v>
      </c>
      <c r="AG1" s="178"/>
      <c r="AH1" s="117"/>
      <c r="AI1" s="117"/>
    </row>
    <row r="2" spans="1:35" s="13" customFormat="1" ht="43.5" x14ac:dyDescent="0.35">
      <c r="A2" s="29" t="s">
        <v>16</v>
      </c>
      <c r="B2" s="195" t="s">
        <v>60</v>
      </c>
      <c r="C2" s="196" t="s">
        <v>30</v>
      </c>
      <c r="D2" s="197" t="s">
        <v>58</v>
      </c>
      <c r="E2" s="331" t="s">
        <v>59</v>
      </c>
      <c r="F2" s="198" t="s">
        <v>51</v>
      </c>
      <c r="G2" s="199" t="s">
        <v>63</v>
      </c>
      <c r="H2" s="338" t="s">
        <v>62</v>
      </c>
      <c r="I2" s="341" t="s">
        <v>170</v>
      </c>
      <c r="J2" s="195" t="s">
        <v>100</v>
      </c>
      <c r="K2" s="31" t="s">
        <v>116</v>
      </c>
      <c r="L2" s="329" t="s">
        <v>117</v>
      </c>
      <c r="M2" s="278" t="s">
        <v>77</v>
      </c>
      <c r="N2" s="200" t="s">
        <v>157</v>
      </c>
      <c r="O2" s="201" t="s">
        <v>78</v>
      </c>
      <c r="P2" s="199" t="s">
        <v>158</v>
      </c>
      <c r="Q2" s="31" t="s">
        <v>149</v>
      </c>
      <c r="R2" s="32" t="s">
        <v>79</v>
      </c>
      <c r="S2" s="31" t="s">
        <v>1</v>
      </c>
      <c r="T2" s="32" t="s">
        <v>33</v>
      </c>
      <c r="U2" s="326" t="s">
        <v>32</v>
      </c>
      <c r="V2" s="31" t="s">
        <v>159</v>
      </c>
      <c r="W2" s="31" t="s">
        <v>163</v>
      </c>
      <c r="X2" s="32" t="s">
        <v>80</v>
      </c>
      <c r="Y2" s="87"/>
      <c r="Z2" s="398" t="s">
        <v>125</v>
      </c>
      <c r="AA2" s="399"/>
      <c r="AB2" s="44" t="s">
        <v>75</v>
      </c>
      <c r="AC2" s="44" t="s">
        <v>88</v>
      </c>
      <c r="AD2" s="118" t="s">
        <v>89</v>
      </c>
      <c r="AE2" s="118" t="s">
        <v>90</v>
      </c>
      <c r="AF2" s="44" t="s">
        <v>91</v>
      </c>
      <c r="AG2" s="179" t="s">
        <v>74</v>
      </c>
      <c r="AH2" s="119" t="s">
        <v>31</v>
      </c>
      <c r="AI2" s="120"/>
    </row>
    <row r="3" spans="1:35" ht="15" customHeight="1" x14ac:dyDescent="0.35">
      <c r="A3" s="184">
        <v>1</v>
      </c>
      <c r="B3" s="172"/>
      <c r="C3" s="193"/>
      <c r="D3" s="324"/>
      <c r="E3" s="332" t="str">
        <f t="shared" ref="E3:E34" si="0">IF(AND(C3&lt;&gt;"",D3&lt;&gt;""),DATEDIF(C3,D3,"y"),"")</f>
        <v/>
      </c>
      <c r="F3" s="170"/>
      <c r="G3" s="137"/>
      <c r="H3" s="339" t="str">
        <f>IF(AND(F3="Male",G3="Male"),"Male",IF(AND(F3="Female",G3="Female"),"Female",IF(AND(F3="Female",G3="Male"),"Transgender Male",IF(AND(F3="Male",G3="Female"),"Transgender Female",IF(G3="Sometimes M, Sometimes F","Gender Fluid",IF(G3="Other than M or F","Agender",""))))))</f>
        <v/>
      </c>
      <c r="I3" s="393"/>
      <c r="J3" s="169"/>
      <c r="K3" s="328"/>
      <c r="L3" s="330" t="str">
        <f>IF(AND(J3&lt;&gt;"",K3=""),J3,IF(AND(J3="White or Caucasian",K3&lt;&gt;"White or Caucasian"),"Blended Race",IF(AND(J3="Black or African-American",K3&lt;&gt;"Black or African-American"),"Blended Race",IF(AND(J3="American Indian or Alaska Native",K3&lt;&gt;"American Indian or Alaska Native"),"Blended Race",IF(AND(J3="Asian",K3&lt;&gt;"Asian"),"Blended Race",IF(AND(J3="Pacific Islander",K3&lt;&gt;"Pacific Islander"),"Blended Race",IF(J3="Other","Other","")))))))</f>
        <v/>
      </c>
      <c r="M3" s="33"/>
      <c r="N3" s="168"/>
      <c r="O3" s="172"/>
      <c r="P3" s="183"/>
      <c r="Q3" s="183"/>
      <c r="R3" s="202"/>
      <c r="S3" s="34"/>
      <c r="T3" s="324"/>
      <c r="U3" s="327" t="str">
        <f>IF(OR(R3="",T3=""),"",DATEDIF(R3,T3,"d"))</f>
        <v/>
      </c>
      <c r="V3" s="325"/>
      <c r="W3" s="333"/>
      <c r="X3" s="334"/>
      <c r="Y3" s="86"/>
      <c r="AA3" s="318"/>
      <c r="AB3" s="180">
        <v>1</v>
      </c>
      <c r="AC3" s="43">
        <f>IF(AND(E3&gt;0,E3&lt;25),1,0)</f>
        <v>0</v>
      </c>
      <c r="AD3" s="43">
        <f>IF(AND(E3&gt;24,E3&lt;35),1,0)</f>
        <v>0</v>
      </c>
      <c r="AE3" s="43">
        <f>IF(AND(E3&gt;34,E3&lt;60),1,0)</f>
        <v>0</v>
      </c>
      <c r="AF3" s="43">
        <f>IF(AND(E3&gt;59,E3&lt;151),1,0)</f>
        <v>0</v>
      </c>
      <c r="AG3" s="125" t="e">
        <f>_xlfn.IFS(AC3=1,1,AD3=1,2,AE3=1,3,AF3=1,4)</f>
        <v>#N/A</v>
      </c>
      <c r="AH3" s="121" t="s">
        <v>24</v>
      </c>
      <c r="AI3" s="117"/>
    </row>
    <row r="4" spans="1:35" ht="15" customHeight="1" x14ac:dyDescent="0.35">
      <c r="A4" s="185">
        <v>2</v>
      </c>
      <c r="B4" s="172"/>
      <c r="C4" s="193"/>
      <c r="D4" s="324"/>
      <c r="E4" s="332" t="str">
        <f t="shared" si="0"/>
        <v/>
      </c>
      <c r="F4" s="170"/>
      <c r="G4" s="137"/>
      <c r="H4" s="339" t="str">
        <f t="shared" ref="H4:H67" si="1">IF(AND(F4="Male",G4="Male"),"Male",IF(AND(F4="Female",G4="Female"),"Female",IF(AND(F4="Female",G4="Male"),"Transgender Male",IF(AND(F4="Male",G4="Female"),"Transgender Female",IF(G4="Sometimes M, Sometimes F","Gender Fluid",IF(G4="Other than M or F","Agender",""))))))</f>
        <v/>
      </c>
      <c r="I4" s="393"/>
      <c r="J4" s="169"/>
      <c r="K4" s="328"/>
      <c r="L4" s="330" t="str">
        <f t="shared" ref="L4:L67" si="2">IF(AND(J4&lt;&gt;"",K4=""),J4,IF(AND(J4="White or Caucasian",K4&lt;&gt;"White or Caucasian"),"Blended Race",IF(AND(J4="Black or African-American",K4&lt;&gt;"Black or African-American"),"Blended Race",IF(AND(J4="American Indian or Alaska Native",K4&lt;&gt;"American Indian or Alaska Native"),"Blended Race",IF(AND(J4="Asian",K4&lt;&gt;"Asian"),"Blended Race",IF(AND(J4="Pacific Islander",K4&lt;&gt;"Pacific Islander"),"Blended Race",IF(J4="Other","Other","")))))))</f>
        <v/>
      </c>
      <c r="M4" s="35"/>
      <c r="N4" s="168"/>
      <c r="O4" s="172"/>
      <c r="P4" s="183"/>
      <c r="Q4" s="183"/>
      <c r="R4" s="202"/>
      <c r="S4" s="34"/>
      <c r="T4" s="324"/>
      <c r="U4" s="327" t="str">
        <f>IF(OR(R4="",T4=""),"",DATEDIF(R4,T4,"d"))</f>
        <v/>
      </c>
      <c r="V4" s="325"/>
      <c r="W4" s="320"/>
      <c r="X4" s="334"/>
      <c r="Y4" s="86"/>
      <c r="AA4" s="318"/>
      <c r="AB4" s="180">
        <v>2</v>
      </c>
      <c r="AC4" s="43">
        <f t="shared" ref="AC4:AC51" si="3">IF(AND(E4&gt;0,E4&lt;25),1,0)</f>
        <v>0</v>
      </c>
      <c r="AD4" s="43">
        <f t="shared" ref="AD4:AD51" si="4">IF(AND(E4&gt;24,E4&lt;35),1,0)</f>
        <v>0</v>
      </c>
      <c r="AE4" s="43">
        <f t="shared" ref="AE4:AE51" si="5">IF(AND(E4&gt;34,E4&lt;60),1,0)</f>
        <v>0</v>
      </c>
      <c r="AF4" s="43">
        <f t="shared" ref="AF4:AF51" si="6">IF(AND(E4&gt;59,E4&lt;151),1,0)</f>
        <v>0</v>
      </c>
      <c r="AG4" s="125" t="e">
        <f t="shared" ref="AG4:AG51" si="7">_xlfn.IFS(AC4=1,1,AD4=1,2,AE4=1,3,AF4=1,4)</f>
        <v>#N/A</v>
      </c>
      <c r="AH4" s="117" t="s">
        <v>7</v>
      </c>
      <c r="AI4" s="117"/>
    </row>
    <row r="5" spans="1:35" ht="15" customHeight="1" x14ac:dyDescent="0.35">
      <c r="A5" s="185">
        <v>3</v>
      </c>
      <c r="B5" s="172"/>
      <c r="C5" s="193"/>
      <c r="D5" s="324"/>
      <c r="E5" s="332" t="str">
        <f t="shared" si="0"/>
        <v/>
      </c>
      <c r="F5" s="170"/>
      <c r="G5" s="137"/>
      <c r="H5" s="339" t="str">
        <f t="shared" si="1"/>
        <v/>
      </c>
      <c r="I5" s="393"/>
      <c r="J5" s="169"/>
      <c r="K5" s="328"/>
      <c r="L5" s="330" t="str">
        <f t="shared" si="2"/>
        <v/>
      </c>
      <c r="M5" s="33"/>
      <c r="N5" s="168"/>
      <c r="O5" s="172"/>
      <c r="P5" s="183"/>
      <c r="Q5" s="183"/>
      <c r="R5" s="202"/>
      <c r="S5" s="34"/>
      <c r="T5" s="324"/>
      <c r="U5" s="327" t="str">
        <f t="shared" ref="U5:U68" si="8">IF(OR(R5="",T5=""),"",DATEDIF(R5,T5,"d"))</f>
        <v/>
      </c>
      <c r="V5" s="325"/>
      <c r="W5" s="320"/>
      <c r="X5" s="334"/>
      <c r="Y5" s="86"/>
      <c r="AA5" s="318"/>
      <c r="AB5" s="180">
        <v>3</v>
      </c>
      <c r="AC5" s="43">
        <f t="shared" si="3"/>
        <v>0</v>
      </c>
      <c r="AD5" s="43">
        <f t="shared" si="4"/>
        <v>0</v>
      </c>
      <c r="AE5" s="43">
        <f t="shared" si="5"/>
        <v>0</v>
      </c>
      <c r="AF5" s="43">
        <f t="shared" si="6"/>
        <v>0</v>
      </c>
      <c r="AG5" s="125" t="e">
        <f t="shared" si="7"/>
        <v>#N/A</v>
      </c>
      <c r="AH5" s="117" t="s">
        <v>8</v>
      </c>
      <c r="AI5" s="117"/>
    </row>
    <row r="6" spans="1:35" ht="15" customHeight="1" x14ac:dyDescent="0.35">
      <c r="A6" s="185">
        <v>4</v>
      </c>
      <c r="B6" s="172"/>
      <c r="C6" s="193"/>
      <c r="D6" s="324"/>
      <c r="E6" s="332" t="str">
        <f t="shared" si="0"/>
        <v/>
      </c>
      <c r="F6" s="170"/>
      <c r="G6" s="137"/>
      <c r="H6" s="339" t="str">
        <f t="shared" si="1"/>
        <v/>
      </c>
      <c r="I6" s="393"/>
      <c r="J6" s="169"/>
      <c r="K6" s="328"/>
      <c r="L6" s="330" t="str">
        <f t="shared" si="2"/>
        <v/>
      </c>
      <c r="M6" s="35"/>
      <c r="N6" s="168"/>
      <c r="O6" s="172"/>
      <c r="P6" s="183"/>
      <c r="Q6" s="183"/>
      <c r="R6" s="202"/>
      <c r="S6" s="34"/>
      <c r="T6" s="324"/>
      <c r="U6" s="327" t="str">
        <f t="shared" si="8"/>
        <v/>
      </c>
      <c r="V6" s="325"/>
      <c r="W6" s="320"/>
      <c r="X6" s="334"/>
      <c r="Y6" s="86"/>
      <c r="AA6" s="318"/>
      <c r="AB6" s="180">
        <v>4</v>
      </c>
      <c r="AC6" s="43">
        <f t="shared" si="3"/>
        <v>0</v>
      </c>
      <c r="AD6" s="43">
        <f t="shared" si="4"/>
        <v>0</v>
      </c>
      <c r="AE6" s="43">
        <f t="shared" si="5"/>
        <v>0</v>
      </c>
      <c r="AF6" s="43">
        <f t="shared" si="6"/>
        <v>0</v>
      </c>
      <c r="AG6" s="125" t="e">
        <f t="shared" si="7"/>
        <v>#N/A</v>
      </c>
      <c r="AH6" s="117"/>
      <c r="AI6" s="117"/>
    </row>
    <row r="7" spans="1:35" ht="15" customHeight="1" x14ac:dyDescent="0.35">
      <c r="A7" s="185">
        <v>5</v>
      </c>
      <c r="B7" s="172"/>
      <c r="C7" s="193"/>
      <c r="D7" s="324"/>
      <c r="E7" s="332" t="str">
        <f t="shared" si="0"/>
        <v/>
      </c>
      <c r="F7" s="170"/>
      <c r="G7" s="137"/>
      <c r="H7" s="339" t="str">
        <f t="shared" si="1"/>
        <v/>
      </c>
      <c r="I7" s="393"/>
      <c r="J7" s="169"/>
      <c r="K7" s="328"/>
      <c r="L7" s="330" t="str">
        <f t="shared" si="2"/>
        <v/>
      </c>
      <c r="M7" s="33"/>
      <c r="N7" s="168"/>
      <c r="O7" s="172"/>
      <c r="P7" s="183"/>
      <c r="Q7" s="183"/>
      <c r="R7" s="202"/>
      <c r="S7" s="34"/>
      <c r="T7" s="324"/>
      <c r="U7" s="327" t="str">
        <f t="shared" si="8"/>
        <v/>
      </c>
      <c r="V7" s="325"/>
      <c r="W7" s="320"/>
      <c r="X7" s="334"/>
      <c r="Y7" s="86"/>
      <c r="AA7" s="318"/>
      <c r="AB7" s="180">
        <v>5</v>
      </c>
      <c r="AC7" s="43">
        <f t="shared" si="3"/>
        <v>0</v>
      </c>
      <c r="AD7" s="43">
        <f t="shared" si="4"/>
        <v>0</v>
      </c>
      <c r="AE7" s="43">
        <f t="shared" si="5"/>
        <v>0</v>
      </c>
      <c r="AF7" s="43">
        <f t="shared" si="6"/>
        <v>0</v>
      </c>
      <c r="AG7" s="125" t="e">
        <f t="shared" si="7"/>
        <v>#N/A</v>
      </c>
      <c r="AH7" s="122" t="s">
        <v>46</v>
      </c>
      <c r="AI7" s="121" t="s">
        <v>164</v>
      </c>
    </row>
    <row r="8" spans="1:35" ht="15" customHeight="1" x14ac:dyDescent="0.35">
      <c r="A8" s="185">
        <v>6</v>
      </c>
      <c r="B8" s="172"/>
      <c r="C8" s="193"/>
      <c r="D8" s="324"/>
      <c r="E8" s="332" t="str">
        <f t="shared" si="0"/>
        <v/>
      </c>
      <c r="F8" s="170"/>
      <c r="G8" s="137"/>
      <c r="H8" s="340" t="str">
        <f t="shared" si="1"/>
        <v/>
      </c>
      <c r="I8" s="394"/>
      <c r="J8" s="169"/>
      <c r="K8" s="328"/>
      <c r="L8" s="330" t="str">
        <f t="shared" si="2"/>
        <v/>
      </c>
      <c r="M8" s="35"/>
      <c r="N8" s="168"/>
      <c r="O8" s="172"/>
      <c r="P8" s="183"/>
      <c r="Q8" s="183"/>
      <c r="R8" s="202"/>
      <c r="S8" s="34"/>
      <c r="T8" s="324"/>
      <c r="U8" s="327" t="str">
        <f t="shared" si="8"/>
        <v/>
      </c>
      <c r="V8" s="325"/>
      <c r="W8" s="320"/>
      <c r="X8" s="334"/>
      <c r="Y8" s="86"/>
      <c r="AA8" s="318"/>
      <c r="AB8" s="180">
        <v>6</v>
      </c>
      <c r="AC8" s="43">
        <f t="shared" si="3"/>
        <v>0</v>
      </c>
      <c r="AD8" s="43">
        <f t="shared" si="4"/>
        <v>0</v>
      </c>
      <c r="AE8" s="43">
        <f t="shared" si="5"/>
        <v>0</v>
      </c>
      <c r="AF8" s="43">
        <f t="shared" si="6"/>
        <v>0</v>
      </c>
      <c r="AG8" s="125" t="e">
        <f t="shared" si="7"/>
        <v>#N/A</v>
      </c>
      <c r="AH8" s="117" t="s">
        <v>7</v>
      </c>
      <c r="AI8" s="117" t="s">
        <v>165</v>
      </c>
    </row>
    <row r="9" spans="1:35" ht="15" customHeight="1" x14ac:dyDescent="0.35">
      <c r="A9" s="185">
        <v>7</v>
      </c>
      <c r="B9" s="172"/>
      <c r="C9" s="193"/>
      <c r="D9" s="324"/>
      <c r="E9" s="332" t="str">
        <f t="shared" si="0"/>
        <v/>
      </c>
      <c r="F9" s="170"/>
      <c r="G9" s="137"/>
      <c r="H9" s="339" t="str">
        <f t="shared" si="1"/>
        <v/>
      </c>
      <c r="I9" s="393"/>
      <c r="J9" s="169"/>
      <c r="K9" s="328"/>
      <c r="L9" s="330" t="str">
        <f t="shared" si="2"/>
        <v/>
      </c>
      <c r="M9" s="33"/>
      <c r="N9" s="168"/>
      <c r="O9" s="172"/>
      <c r="P9" s="183"/>
      <c r="Q9" s="183"/>
      <c r="R9" s="202"/>
      <c r="S9" s="34"/>
      <c r="T9" s="324"/>
      <c r="U9" s="327" t="str">
        <f t="shared" si="8"/>
        <v/>
      </c>
      <c r="V9" s="325"/>
      <c r="W9" s="320"/>
      <c r="X9" s="334"/>
      <c r="Y9" s="86"/>
      <c r="AA9" s="318"/>
      <c r="AB9" s="180">
        <v>7</v>
      </c>
      <c r="AC9" s="43">
        <f t="shared" si="3"/>
        <v>0</v>
      </c>
      <c r="AD9" s="43">
        <f t="shared" si="4"/>
        <v>0</v>
      </c>
      <c r="AE9" s="43">
        <f t="shared" si="5"/>
        <v>0</v>
      </c>
      <c r="AF9" s="43">
        <f t="shared" si="6"/>
        <v>0</v>
      </c>
      <c r="AG9" s="125" t="e">
        <f t="shared" si="7"/>
        <v>#N/A</v>
      </c>
      <c r="AH9" s="117" t="s">
        <v>8</v>
      </c>
      <c r="AI9" s="117" t="s">
        <v>166</v>
      </c>
    </row>
    <row r="10" spans="1:35" ht="15" customHeight="1" x14ac:dyDescent="0.35">
      <c r="A10" s="185">
        <v>8</v>
      </c>
      <c r="B10" s="172"/>
      <c r="C10" s="193"/>
      <c r="D10" s="324"/>
      <c r="E10" s="332" t="str">
        <f t="shared" si="0"/>
        <v/>
      </c>
      <c r="F10" s="170"/>
      <c r="G10" s="137"/>
      <c r="H10" s="339" t="str">
        <f t="shared" si="1"/>
        <v/>
      </c>
      <c r="I10" s="393"/>
      <c r="J10" s="169"/>
      <c r="K10" s="328"/>
      <c r="L10" s="330" t="str">
        <f t="shared" si="2"/>
        <v/>
      </c>
      <c r="M10" s="35"/>
      <c r="N10" s="168"/>
      <c r="O10" s="172"/>
      <c r="P10" s="183"/>
      <c r="Q10" s="183"/>
      <c r="R10" s="202"/>
      <c r="S10" s="34"/>
      <c r="T10" s="324"/>
      <c r="U10" s="327" t="str">
        <f t="shared" si="8"/>
        <v/>
      </c>
      <c r="V10" s="325"/>
      <c r="W10" s="320"/>
      <c r="X10" s="334"/>
      <c r="Y10" s="86"/>
      <c r="AA10" s="318"/>
      <c r="AB10" s="180">
        <v>8</v>
      </c>
      <c r="AC10" s="43">
        <f t="shared" si="3"/>
        <v>0</v>
      </c>
      <c r="AD10" s="43">
        <f t="shared" si="4"/>
        <v>0</v>
      </c>
      <c r="AE10" s="43">
        <f t="shared" si="5"/>
        <v>0</v>
      </c>
      <c r="AF10" s="43">
        <f t="shared" si="6"/>
        <v>0</v>
      </c>
      <c r="AG10" s="125" t="e">
        <f t="shared" si="7"/>
        <v>#N/A</v>
      </c>
      <c r="AH10" s="117" t="s">
        <v>64</v>
      </c>
      <c r="AI10" s="117" t="s">
        <v>167</v>
      </c>
    </row>
    <row r="11" spans="1:35" ht="15" customHeight="1" x14ac:dyDescent="0.35">
      <c r="A11" s="185">
        <v>9</v>
      </c>
      <c r="B11" s="172"/>
      <c r="C11" s="193"/>
      <c r="D11" s="324"/>
      <c r="E11" s="332" t="str">
        <f t="shared" si="0"/>
        <v/>
      </c>
      <c r="F11" s="170"/>
      <c r="G11" s="137"/>
      <c r="H11" s="339" t="str">
        <f t="shared" si="1"/>
        <v/>
      </c>
      <c r="I11" s="393"/>
      <c r="J11" s="169"/>
      <c r="K11" s="328"/>
      <c r="L11" s="330" t="str">
        <f t="shared" si="2"/>
        <v/>
      </c>
      <c r="M11" s="33"/>
      <c r="N11" s="168"/>
      <c r="O11" s="172"/>
      <c r="P11" s="183"/>
      <c r="Q11" s="183"/>
      <c r="R11" s="202"/>
      <c r="S11" s="34"/>
      <c r="T11" s="324"/>
      <c r="U11" s="327" t="str">
        <f t="shared" si="8"/>
        <v/>
      </c>
      <c r="V11" s="325"/>
      <c r="W11" s="320"/>
      <c r="X11" s="334"/>
      <c r="Y11" s="86"/>
      <c r="AA11" s="318"/>
      <c r="AB11" s="180">
        <v>9</v>
      </c>
      <c r="AC11" s="43">
        <f t="shared" si="3"/>
        <v>0</v>
      </c>
      <c r="AD11" s="43">
        <f t="shared" si="4"/>
        <v>0</v>
      </c>
      <c r="AE11" s="43">
        <f t="shared" si="5"/>
        <v>0</v>
      </c>
      <c r="AF11" s="43">
        <f t="shared" si="6"/>
        <v>0</v>
      </c>
      <c r="AG11" s="125" t="e">
        <f t="shared" si="7"/>
        <v>#N/A</v>
      </c>
      <c r="AH11" s="117" t="s">
        <v>101</v>
      </c>
      <c r="AI11" s="117" t="s">
        <v>168</v>
      </c>
    </row>
    <row r="12" spans="1:35" ht="15" customHeight="1" x14ac:dyDescent="0.35">
      <c r="A12" s="185">
        <v>10</v>
      </c>
      <c r="B12" s="172"/>
      <c r="C12" s="193"/>
      <c r="D12" s="324"/>
      <c r="E12" s="332" t="str">
        <f t="shared" si="0"/>
        <v/>
      </c>
      <c r="F12" s="170"/>
      <c r="G12" s="137"/>
      <c r="H12" s="339" t="str">
        <f t="shared" si="1"/>
        <v/>
      </c>
      <c r="I12" s="393"/>
      <c r="J12" s="169"/>
      <c r="K12" s="328"/>
      <c r="L12" s="330" t="str">
        <f t="shared" si="2"/>
        <v/>
      </c>
      <c r="M12" s="35"/>
      <c r="N12" s="168"/>
      <c r="O12" s="172"/>
      <c r="P12" s="183"/>
      <c r="Q12" s="183"/>
      <c r="R12" s="202"/>
      <c r="S12" s="34"/>
      <c r="T12" s="324"/>
      <c r="U12" s="327" t="str">
        <f t="shared" si="8"/>
        <v/>
      </c>
      <c r="V12" s="325"/>
      <c r="W12" s="320"/>
      <c r="X12" s="334"/>
      <c r="Y12" s="86"/>
      <c r="AA12" s="318"/>
      <c r="AB12" s="180">
        <v>10</v>
      </c>
      <c r="AC12" s="43">
        <f t="shared" si="3"/>
        <v>0</v>
      </c>
      <c r="AD12" s="43">
        <f t="shared" si="4"/>
        <v>0</v>
      </c>
      <c r="AE12" s="43">
        <f t="shared" si="5"/>
        <v>0</v>
      </c>
      <c r="AF12" s="43">
        <f t="shared" si="6"/>
        <v>0</v>
      </c>
      <c r="AG12" s="125" t="e">
        <f t="shared" si="7"/>
        <v>#N/A</v>
      </c>
      <c r="AH12" s="117"/>
      <c r="AI12" s="117"/>
    </row>
    <row r="13" spans="1:35" ht="15" customHeight="1" x14ac:dyDescent="0.35">
      <c r="A13" s="185">
        <v>11</v>
      </c>
      <c r="B13" s="172"/>
      <c r="C13" s="193"/>
      <c r="D13" s="324"/>
      <c r="E13" s="332" t="str">
        <f t="shared" si="0"/>
        <v/>
      </c>
      <c r="F13" s="170"/>
      <c r="G13" s="137"/>
      <c r="H13" s="339" t="str">
        <f t="shared" si="1"/>
        <v/>
      </c>
      <c r="I13" s="393"/>
      <c r="J13" s="169"/>
      <c r="K13" s="328"/>
      <c r="L13" s="330" t="str">
        <f t="shared" si="2"/>
        <v/>
      </c>
      <c r="M13" s="33"/>
      <c r="N13" s="168"/>
      <c r="O13" s="172"/>
      <c r="P13" s="183"/>
      <c r="Q13" s="183"/>
      <c r="R13" s="202"/>
      <c r="S13" s="34"/>
      <c r="T13" s="324"/>
      <c r="U13" s="327" t="str">
        <f t="shared" si="8"/>
        <v/>
      </c>
      <c r="V13" s="325"/>
      <c r="W13" s="320"/>
      <c r="X13" s="334"/>
      <c r="Y13" s="86"/>
      <c r="AA13" s="318"/>
      <c r="AB13" s="180">
        <v>11</v>
      </c>
      <c r="AC13" s="43">
        <f t="shared" si="3"/>
        <v>0</v>
      </c>
      <c r="AD13" s="43">
        <f t="shared" si="4"/>
        <v>0</v>
      </c>
      <c r="AE13" s="43">
        <f t="shared" si="5"/>
        <v>0</v>
      </c>
      <c r="AF13" s="43">
        <f t="shared" si="6"/>
        <v>0</v>
      </c>
      <c r="AG13" s="125" t="e">
        <f t="shared" si="7"/>
        <v>#N/A</v>
      </c>
      <c r="AH13" s="121" t="s">
        <v>4</v>
      </c>
      <c r="AI13" s="117"/>
    </row>
    <row r="14" spans="1:35" ht="15" customHeight="1" x14ac:dyDescent="0.35">
      <c r="A14" s="185">
        <v>12</v>
      </c>
      <c r="B14" s="172"/>
      <c r="C14" s="193"/>
      <c r="D14" s="324"/>
      <c r="E14" s="332" t="str">
        <f t="shared" si="0"/>
        <v/>
      </c>
      <c r="F14" s="170"/>
      <c r="G14" s="137"/>
      <c r="H14" s="339" t="str">
        <f t="shared" si="1"/>
        <v/>
      </c>
      <c r="I14" s="393"/>
      <c r="J14" s="169"/>
      <c r="K14" s="328"/>
      <c r="L14" s="330" t="str">
        <f t="shared" si="2"/>
        <v/>
      </c>
      <c r="M14" s="35"/>
      <c r="N14" s="168"/>
      <c r="O14" s="172"/>
      <c r="P14" s="183"/>
      <c r="Q14" s="183"/>
      <c r="R14" s="202"/>
      <c r="S14" s="34"/>
      <c r="T14" s="324"/>
      <c r="U14" s="327" t="str">
        <f t="shared" si="8"/>
        <v/>
      </c>
      <c r="V14" s="325"/>
      <c r="W14" s="320"/>
      <c r="X14" s="334"/>
      <c r="Y14" s="86"/>
      <c r="AA14" s="318"/>
      <c r="AB14" s="180">
        <v>12</v>
      </c>
      <c r="AC14" s="43">
        <f t="shared" si="3"/>
        <v>0</v>
      </c>
      <c r="AD14" s="43">
        <f t="shared" si="4"/>
        <v>0</v>
      </c>
      <c r="AE14" s="43">
        <f t="shared" si="5"/>
        <v>0</v>
      </c>
      <c r="AF14" s="43">
        <f t="shared" si="6"/>
        <v>0</v>
      </c>
      <c r="AG14" s="125" t="e">
        <f t="shared" si="7"/>
        <v>#N/A</v>
      </c>
      <c r="AH14" s="117" t="s">
        <v>9</v>
      </c>
      <c r="AI14" s="117"/>
    </row>
    <row r="15" spans="1:35" ht="15" customHeight="1" x14ac:dyDescent="0.35">
      <c r="A15" s="185">
        <v>13</v>
      </c>
      <c r="B15" s="172"/>
      <c r="C15" s="193"/>
      <c r="D15" s="324"/>
      <c r="E15" s="332" t="str">
        <f t="shared" si="0"/>
        <v/>
      </c>
      <c r="F15" s="170"/>
      <c r="G15" s="137"/>
      <c r="H15" s="339" t="str">
        <f t="shared" si="1"/>
        <v/>
      </c>
      <c r="I15" s="394"/>
      <c r="J15" s="169"/>
      <c r="K15" s="328"/>
      <c r="L15" s="330" t="str">
        <f t="shared" si="2"/>
        <v/>
      </c>
      <c r="M15" s="33"/>
      <c r="N15" s="168"/>
      <c r="O15" s="172"/>
      <c r="P15" s="183"/>
      <c r="Q15" s="183"/>
      <c r="R15" s="202"/>
      <c r="S15" s="34"/>
      <c r="T15" s="324"/>
      <c r="U15" s="327" t="str">
        <f t="shared" si="8"/>
        <v/>
      </c>
      <c r="V15" s="325"/>
      <c r="W15" s="320"/>
      <c r="X15" s="334"/>
      <c r="Y15" s="86"/>
      <c r="AA15" s="318"/>
      <c r="AB15" s="180">
        <v>13</v>
      </c>
      <c r="AC15" s="43">
        <f t="shared" si="3"/>
        <v>0</v>
      </c>
      <c r="AD15" s="43">
        <f t="shared" si="4"/>
        <v>0</v>
      </c>
      <c r="AE15" s="43">
        <f t="shared" si="5"/>
        <v>0</v>
      </c>
      <c r="AF15" s="43">
        <f t="shared" si="6"/>
        <v>0</v>
      </c>
      <c r="AG15" s="125" t="e">
        <f t="shared" si="7"/>
        <v>#N/A</v>
      </c>
      <c r="AH15" s="117" t="s">
        <v>10</v>
      </c>
      <c r="AI15" s="117"/>
    </row>
    <row r="16" spans="1:35" ht="15" customHeight="1" x14ac:dyDescent="0.35">
      <c r="A16" s="185">
        <v>14</v>
      </c>
      <c r="B16" s="172"/>
      <c r="C16" s="193"/>
      <c r="D16" s="324"/>
      <c r="E16" s="332" t="str">
        <f t="shared" si="0"/>
        <v/>
      </c>
      <c r="F16" s="170"/>
      <c r="G16" s="137"/>
      <c r="H16" s="339" t="str">
        <f t="shared" si="1"/>
        <v/>
      </c>
      <c r="I16" s="393"/>
      <c r="J16" s="169"/>
      <c r="K16" s="328"/>
      <c r="L16" s="330" t="str">
        <f t="shared" si="2"/>
        <v/>
      </c>
      <c r="M16" s="35"/>
      <c r="N16" s="168"/>
      <c r="O16" s="172"/>
      <c r="P16" s="183"/>
      <c r="Q16" s="183"/>
      <c r="R16" s="202"/>
      <c r="S16" s="34"/>
      <c r="T16" s="324"/>
      <c r="U16" s="327" t="str">
        <f t="shared" si="8"/>
        <v/>
      </c>
      <c r="V16" s="325"/>
      <c r="W16" s="320"/>
      <c r="X16" s="334"/>
      <c r="Y16" s="86"/>
      <c r="AA16" s="318"/>
      <c r="AB16" s="180">
        <v>14</v>
      </c>
      <c r="AC16" s="43">
        <f t="shared" si="3"/>
        <v>0</v>
      </c>
      <c r="AD16" s="43">
        <f t="shared" si="4"/>
        <v>0</v>
      </c>
      <c r="AE16" s="43">
        <f t="shared" si="5"/>
        <v>0</v>
      </c>
      <c r="AF16" s="43">
        <f t="shared" si="6"/>
        <v>0</v>
      </c>
      <c r="AG16" s="125" t="e">
        <f t="shared" si="7"/>
        <v>#N/A</v>
      </c>
      <c r="AH16" s="117" t="s">
        <v>11</v>
      </c>
      <c r="AI16" s="117"/>
    </row>
    <row r="17" spans="1:35" ht="15" customHeight="1" x14ac:dyDescent="0.35">
      <c r="A17" s="185">
        <v>15</v>
      </c>
      <c r="B17" s="172"/>
      <c r="C17" s="193"/>
      <c r="D17" s="324"/>
      <c r="E17" s="332" t="str">
        <f t="shared" si="0"/>
        <v/>
      </c>
      <c r="F17" s="170"/>
      <c r="G17" s="137"/>
      <c r="H17" s="339" t="str">
        <f t="shared" si="1"/>
        <v/>
      </c>
      <c r="I17" s="393"/>
      <c r="J17" s="169"/>
      <c r="K17" s="328"/>
      <c r="L17" s="330" t="str">
        <f t="shared" si="2"/>
        <v/>
      </c>
      <c r="M17" s="33"/>
      <c r="N17" s="168"/>
      <c r="O17" s="172"/>
      <c r="P17" s="183"/>
      <c r="Q17" s="183"/>
      <c r="R17" s="202"/>
      <c r="S17" s="34"/>
      <c r="T17" s="324"/>
      <c r="U17" s="327" t="str">
        <f t="shared" si="8"/>
        <v/>
      </c>
      <c r="V17" s="325"/>
      <c r="W17" s="320"/>
      <c r="X17" s="334"/>
      <c r="Y17" s="86"/>
      <c r="AA17" s="318"/>
      <c r="AB17" s="180">
        <v>15</v>
      </c>
      <c r="AC17" s="43">
        <f t="shared" si="3"/>
        <v>0</v>
      </c>
      <c r="AD17" s="43">
        <f t="shared" si="4"/>
        <v>0</v>
      </c>
      <c r="AE17" s="43">
        <f t="shared" si="5"/>
        <v>0</v>
      </c>
      <c r="AF17" s="43">
        <f t="shared" si="6"/>
        <v>0</v>
      </c>
      <c r="AG17" s="125" t="e">
        <f t="shared" si="7"/>
        <v>#N/A</v>
      </c>
      <c r="AH17" s="117" t="s">
        <v>5</v>
      </c>
      <c r="AI17" s="117"/>
    </row>
    <row r="18" spans="1:35" ht="15" customHeight="1" x14ac:dyDescent="0.35">
      <c r="A18" s="185">
        <v>16</v>
      </c>
      <c r="B18" s="172"/>
      <c r="C18" s="193"/>
      <c r="D18" s="324"/>
      <c r="E18" s="332" t="str">
        <f t="shared" si="0"/>
        <v/>
      </c>
      <c r="F18" s="170"/>
      <c r="G18" s="137"/>
      <c r="H18" s="339" t="str">
        <f t="shared" si="1"/>
        <v/>
      </c>
      <c r="I18" s="393"/>
      <c r="J18" s="169"/>
      <c r="K18" s="328"/>
      <c r="L18" s="330" t="str">
        <f t="shared" si="2"/>
        <v/>
      </c>
      <c r="M18" s="35"/>
      <c r="N18" s="168"/>
      <c r="O18" s="172"/>
      <c r="P18" s="183"/>
      <c r="Q18" s="183"/>
      <c r="R18" s="202"/>
      <c r="S18" s="34"/>
      <c r="T18" s="324"/>
      <c r="U18" s="327" t="str">
        <f t="shared" si="8"/>
        <v/>
      </c>
      <c r="V18" s="325"/>
      <c r="W18" s="320"/>
      <c r="X18" s="334"/>
      <c r="Y18" s="86"/>
      <c r="AA18" s="318"/>
      <c r="AB18" s="180">
        <v>16</v>
      </c>
      <c r="AC18" s="43">
        <f t="shared" si="3"/>
        <v>0</v>
      </c>
      <c r="AD18" s="43">
        <f t="shared" si="4"/>
        <v>0</v>
      </c>
      <c r="AE18" s="43">
        <f t="shared" si="5"/>
        <v>0</v>
      </c>
      <c r="AF18" s="43">
        <f t="shared" si="6"/>
        <v>0</v>
      </c>
      <c r="AG18" s="125" t="e">
        <f t="shared" si="7"/>
        <v>#N/A</v>
      </c>
      <c r="AH18" s="117" t="s">
        <v>12</v>
      </c>
      <c r="AI18" s="117"/>
    </row>
    <row r="19" spans="1:35" ht="15" customHeight="1" x14ac:dyDescent="0.35">
      <c r="A19" s="185">
        <v>17</v>
      </c>
      <c r="B19" s="172"/>
      <c r="C19" s="193"/>
      <c r="D19" s="324"/>
      <c r="E19" s="332" t="str">
        <f t="shared" si="0"/>
        <v/>
      </c>
      <c r="F19" s="170"/>
      <c r="G19" s="137"/>
      <c r="H19" s="339" t="str">
        <f t="shared" si="1"/>
        <v/>
      </c>
      <c r="I19" s="393"/>
      <c r="J19" s="169"/>
      <c r="K19" s="328"/>
      <c r="L19" s="330" t="str">
        <f t="shared" si="2"/>
        <v/>
      </c>
      <c r="M19" s="33"/>
      <c r="N19" s="168"/>
      <c r="O19" s="172"/>
      <c r="P19" s="183"/>
      <c r="Q19" s="183"/>
      <c r="R19" s="202"/>
      <c r="S19" s="34"/>
      <c r="T19" s="324"/>
      <c r="U19" s="327" t="str">
        <f t="shared" si="8"/>
        <v/>
      </c>
      <c r="V19" s="325"/>
      <c r="W19" s="320"/>
      <c r="X19" s="334"/>
      <c r="Y19" s="86"/>
      <c r="AA19" s="318"/>
      <c r="AB19" s="180">
        <v>17</v>
      </c>
      <c r="AC19" s="43">
        <f t="shared" si="3"/>
        <v>0</v>
      </c>
      <c r="AD19" s="43">
        <f t="shared" si="4"/>
        <v>0</v>
      </c>
      <c r="AE19" s="43">
        <f t="shared" si="5"/>
        <v>0</v>
      </c>
      <c r="AF19" s="43">
        <f t="shared" si="6"/>
        <v>0</v>
      </c>
      <c r="AG19" s="125" t="e">
        <f t="shared" si="7"/>
        <v>#N/A</v>
      </c>
      <c r="AH19" s="117" t="s">
        <v>14</v>
      </c>
      <c r="AI19" s="117"/>
    </row>
    <row r="20" spans="1:35" s="7" customFormat="1" ht="15" customHeight="1" x14ac:dyDescent="0.35">
      <c r="A20" s="185">
        <v>18</v>
      </c>
      <c r="B20" s="172"/>
      <c r="C20" s="193"/>
      <c r="D20" s="324"/>
      <c r="E20" s="332" t="str">
        <f t="shared" si="0"/>
        <v/>
      </c>
      <c r="F20" s="170"/>
      <c r="G20" s="137"/>
      <c r="H20" s="339" t="str">
        <f t="shared" si="1"/>
        <v/>
      </c>
      <c r="I20" s="393"/>
      <c r="J20" s="169"/>
      <c r="K20" s="328"/>
      <c r="L20" s="330" t="str">
        <f t="shared" si="2"/>
        <v/>
      </c>
      <c r="M20" s="35"/>
      <c r="N20" s="168"/>
      <c r="O20" s="172"/>
      <c r="P20" s="183"/>
      <c r="Q20" s="183"/>
      <c r="R20" s="202"/>
      <c r="S20" s="34"/>
      <c r="T20" s="324"/>
      <c r="U20" s="327" t="str">
        <f t="shared" si="8"/>
        <v/>
      </c>
      <c r="V20" s="325"/>
      <c r="W20" s="320"/>
      <c r="X20" s="334"/>
      <c r="Y20" s="86"/>
      <c r="Z20" s="317"/>
      <c r="AA20" s="318"/>
      <c r="AB20" s="180">
        <v>18</v>
      </c>
      <c r="AC20" s="43">
        <f t="shared" si="3"/>
        <v>0</v>
      </c>
      <c r="AD20" s="43">
        <f t="shared" si="4"/>
        <v>0</v>
      </c>
      <c r="AE20" s="43">
        <f t="shared" si="5"/>
        <v>0</v>
      </c>
      <c r="AF20" s="43">
        <f t="shared" si="6"/>
        <v>0</v>
      </c>
      <c r="AG20" s="125" t="e">
        <f t="shared" si="7"/>
        <v>#N/A</v>
      </c>
      <c r="AH20" s="117"/>
      <c r="AI20" s="117"/>
    </row>
    <row r="21" spans="1:35" ht="15" customHeight="1" x14ac:dyDescent="0.35">
      <c r="A21" s="185">
        <v>19</v>
      </c>
      <c r="B21" s="172"/>
      <c r="C21" s="193"/>
      <c r="D21" s="324"/>
      <c r="E21" s="332" t="str">
        <f t="shared" si="0"/>
        <v/>
      </c>
      <c r="F21" s="170"/>
      <c r="G21" s="137"/>
      <c r="H21" s="339" t="str">
        <f t="shared" si="1"/>
        <v/>
      </c>
      <c r="I21" s="393"/>
      <c r="J21" s="169"/>
      <c r="K21" s="328"/>
      <c r="L21" s="330" t="str">
        <f t="shared" si="2"/>
        <v/>
      </c>
      <c r="M21" s="33"/>
      <c r="N21" s="168"/>
      <c r="O21" s="172"/>
      <c r="P21" s="183"/>
      <c r="Q21" s="183"/>
      <c r="R21" s="202"/>
      <c r="S21" s="34"/>
      <c r="T21" s="324"/>
      <c r="U21" s="327" t="str">
        <f t="shared" si="8"/>
        <v/>
      </c>
      <c r="V21" s="325"/>
      <c r="W21" s="320"/>
      <c r="X21" s="334"/>
      <c r="Y21" s="88"/>
      <c r="AA21" s="318"/>
      <c r="AB21" s="180">
        <v>19</v>
      </c>
      <c r="AC21" s="43">
        <f t="shared" si="3"/>
        <v>0</v>
      </c>
      <c r="AD21" s="43">
        <f t="shared" si="4"/>
        <v>0</v>
      </c>
      <c r="AE21" s="43">
        <f t="shared" si="5"/>
        <v>0</v>
      </c>
      <c r="AF21" s="43">
        <f t="shared" si="6"/>
        <v>0</v>
      </c>
      <c r="AG21" s="125" t="e">
        <f t="shared" si="7"/>
        <v>#N/A</v>
      </c>
      <c r="AH21" s="121" t="s">
        <v>6</v>
      </c>
      <c r="AI21" s="117"/>
    </row>
    <row r="22" spans="1:35" ht="15" customHeight="1" x14ac:dyDescent="0.35">
      <c r="A22" s="185">
        <v>20</v>
      </c>
      <c r="B22" s="172"/>
      <c r="C22" s="193"/>
      <c r="D22" s="324"/>
      <c r="E22" s="332" t="str">
        <f t="shared" si="0"/>
        <v/>
      </c>
      <c r="F22" s="170"/>
      <c r="G22" s="137"/>
      <c r="H22" s="340" t="str">
        <f t="shared" si="1"/>
        <v/>
      </c>
      <c r="I22" s="394"/>
      <c r="J22" s="169"/>
      <c r="K22" s="328"/>
      <c r="L22" s="330" t="str">
        <f t="shared" si="2"/>
        <v/>
      </c>
      <c r="M22" s="35"/>
      <c r="N22" s="168"/>
      <c r="O22" s="172"/>
      <c r="P22" s="183"/>
      <c r="Q22" s="183"/>
      <c r="R22" s="202"/>
      <c r="S22" s="34"/>
      <c r="T22" s="324"/>
      <c r="U22" s="327" t="str">
        <f t="shared" si="8"/>
        <v/>
      </c>
      <c r="V22" s="325"/>
      <c r="W22" s="320"/>
      <c r="X22" s="334"/>
      <c r="Y22" s="88"/>
      <c r="AA22" s="318"/>
      <c r="AB22" s="180">
        <v>20</v>
      </c>
      <c r="AC22" s="43">
        <f t="shared" si="3"/>
        <v>0</v>
      </c>
      <c r="AD22" s="43">
        <f t="shared" si="4"/>
        <v>0</v>
      </c>
      <c r="AE22" s="43">
        <f t="shared" si="5"/>
        <v>0</v>
      </c>
      <c r="AF22" s="43">
        <f t="shared" si="6"/>
        <v>0</v>
      </c>
      <c r="AG22" s="125" t="e">
        <f t="shared" si="7"/>
        <v>#N/A</v>
      </c>
      <c r="AH22" s="117" t="s">
        <v>107</v>
      </c>
      <c r="AI22" s="117"/>
    </row>
    <row r="23" spans="1:35" ht="15" customHeight="1" x14ac:dyDescent="0.35">
      <c r="A23" s="185">
        <v>21</v>
      </c>
      <c r="B23" s="172"/>
      <c r="C23" s="193"/>
      <c r="D23" s="324"/>
      <c r="E23" s="332" t="str">
        <f t="shared" si="0"/>
        <v/>
      </c>
      <c r="F23" s="170"/>
      <c r="G23" s="137"/>
      <c r="H23" s="340" t="str">
        <f t="shared" si="1"/>
        <v/>
      </c>
      <c r="I23" s="393"/>
      <c r="J23" s="169"/>
      <c r="K23" s="328"/>
      <c r="L23" s="330" t="str">
        <f t="shared" si="2"/>
        <v/>
      </c>
      <c r="M23" s="33"/>
      <c r="N23" s="168"/>
      <c r="O23" s="172"/>
      <c r="P23" s="183"/>
      <c r="Q23" s="183"/>
      <c r="R23" s="202"/>
      <c r="S23" s="34"/>
      <c r="T23" s="324"/>
      <c r="U23" s="327" t="str">
        <f t="shared" si="8"/>
        <v/>
      </c>
      <c r="V23" s="325"/>
      <c r="W23" s="320"/>
      <c r="X23" s="334"/>
      <c r="Y23" s="86"/>
      <c r="AA23" s="318"/>
      <c r="AB23" s="180">
        <v>21</v>
      </c>
      <c r="AC23" s="43">
        <f t="shared" si="3"/>
        <v>0</v>
      </c>
      <c r="AD23" s="43">
        <f t="shared" si="4"/>
        <v>0</v>
      </c>
      <c r="AE23" s="43">
        <f t="shared" si="5"/>
        <v>0</v>
      </c>
      <c r="AF23" s="43">
        <f t="shared" si="6"/>
        <v>0</v>
      </c>
      <c r="AG23" s="125" t="e">
        <f t="shared" si="7"/>
        <v>#N/A</v>
      </c>
      <c r="AH23" s="117" t="s">
        <v>108</v>
      </c>
      <c r="AI23" s="117"/>
    </row>
    <row r="24" spans="1:35" ht="15" customHeight="1" x14ac:dyDescent="0.35">
      <c r="A24" s="185">
        <v>22</v>
      </c>
      <c r="B24" s="172"/>
      <c r="C24" s="193"/>
      <c r="D24" s="324"/>
      <c r="E24" s="332" t="str">
        <f t="shared" si="0"/>
        <v/>
      </c>
      <c r="F24" s="170"/>
      <c r="G24" s="137"/>
      <c r="H24" s="340" t="str">
        <f t="shared" si="1"/>
        <v/>
      </c>
      <c r="I24" s="393"/>
      <c r="J24" s="169"/>
      <c r="K24" s="328"/>
      <c r="L24" s="330" t="str">
        <f t="shared" si="2"/>
        <v/>
      </c>
      <c r="M24" s="35"/>
      <c r="N24" s="168"/>
      <c r="O24" s="172"/>
      <c r="P24" s="183"/>
      <c r="Q24" s="183"/>
      <c r="R24" s="202"/>
      <c r="S24" s="34"/>
      <c r="T24" s="324"/>
      <c r="U24" s="327" t="str">
        <f t="shared" si="8"/>
        <v/>
      </c>
      <c r="V24" s="325"/>
      <c r="W24" s="320"/>
      <c r="X24" s="334"/>
      <c r="Y24" s="86"/>
      <c r="AA24" s="318"/>
      <c r="AB24" s="180">
        <v>22</v>
      </c>
      <c r="AC24" s="43">
        <f t="shared" si="3"/>
        <v>0</v>
      </c>
      <c r="AD24" s="43">
        <f t="shared" si="4"/>
        <v>0</v>
      </c>
      <c r="AE24" s="43">
        <f t="shared" si="5"/>
        <v>0</v>
      </c>
      <c r="AF24" s="43">
        <f t="shared" si="6"/>
        <v>0</v>
      </c>
      <c r="AG24" s="125" t="e">
        <f t="shared" si="7"/>
        <v>#N/A</v>
      </c>
      <c r="AH24" s="117"/>
      <c r="AI24" s="117"/>
    </row>
    <row r="25" spans="1:35" ht="15" customHeight="1" x14ac:dyDescent="0.35">
      <c r="A25" s="185">
        <v>23</v>
      </c>
      <c r="B25" s="172"/>
      <c r="C25" s="193"/>
      <c r="D25" s="324"/>
      <c r="E25" s="332" t="str">
        <f t="shared" si="0"/>
        <v/>
      </c>
      <c r="F25" s="170"/>
      <c r="G25" s="137"/>
      <c r="H25" s="340" t="str">
        <f t="shared" si="1"/>
        <v/>
      </c>
      <c r="I25" s="393"/>
      <c r="J25" s="169"/>
      <c r="K25" s="328"/>
      <c r="L25" s="330" t="str">
        <f t="shared" si="2"/>
        <v/>
      </c>
      <c r="M25" s="33"/>
      <c r="N25" s="168"/>
      <c r="O25" s="172"/>
      <c r="P25" s="183"/>
      <c r="Q25" s="183"/>
      <c r="R25" s="202"/>
      <c r="S25" s="34"/>
      <c r="T25" s="324"/>
      <c r="U25" s="327" t="str">
        <f t="shared" si="8"/>
        <v/>
      </c>
      <c r="V25" s="325"/>
      <c r="W25" s="320"/>
      <c r="X25" s="334"/>
      <c r="Y25" s="86"/>
      <c r="AA25" s="318"/>
      <c r="AB25" s="180">
        <v>23</v>
      </c>
      <c r="AC25" s="43">
        <f t="shared" si="3"/>
        <v>0</v>
      </c>
      <c r="AD25" s="43">
        <f t="shared" si="4"/>
        <v>0</v>
      </c>
      <c r="AE25" s="43">
        <f t="shared" si="5"/>
        <v>0</v>
      </c>
      <c r="AF25" s="43">
        <f t="shared" si="6"/>
        <v>0</v>
      </c>
      <c r="AG25" s="125" t="e">
        <f t="shared" si="7"/>
        <v>#N/A</v>
      </c>
      <c r="AH25" s="121" t="s">
        <v>0</v>
      </c>
      <c r="AI25" s="117"/>
    </row>
    <row r="26" spans="1:35" ht="15" customHeight="1" x14ac:dyDescent="0.35">
      <c r="A26" s="185">
        <v>24</v>
      </c>
      <c r="B26" s="172"/>
      <c r="C26" s="193"/>
      <c r="D26" s="324"/>
      <c r="E26" s="332" t="str">
        <f t="shared" si="0"/>
        <v/>
      </c>
      <c r="F26" s="170"/>
      <c r="G26" s="137"/>
      <c r="H26" s="339" t="str">
        <f t="shared" si="1"/>
        <v/>
      </c>
      <c r="I26" s="393"/>
      <c r="J26" s="169"/>
      <c r="K26" s="328"/>
      <c r="L26" s="330" t="str">
        <f t="shared" si="2"/>
        <v/>
      </c>
      <c r="M26" s="35"/>
      <c r="N26" s="168"/>
      <c r="O26" s="172"/>
      <c r="P26" s="183"/>
      <c r="Q26" s="183"/>
      <c r="R26" s="202"/>
      <c r="S26" s="34"/>
      <c r="T26" s="324"/>
      <c r="U26" s="327" t="str">
        <f t="shared" si="8"/>
        <v/>
      </c>
      <c r="V26" s="325"/>
      <c r="W26" s="320"/>
      <c r="X26" s="334"/>
      <c r="Y26" s="86"/>
      <c r="AA26" s="318"/>
      <c r="AB26" s="180">
        <v>24</v>
      </c>
      <c r="AC26" s="43">
        <f t="shared" si="3"/>
        <v>0</v>
      </c>
      <c r="AD26" s="43">
        <f t="shared" si="4"/>
        <v>0</v>
      </c>
      <c r="AE26" s="43">
        <f t="shared" si="5"/>
        <v>0</v>
      </c>
      <c r="AF26" s="43">
        <f t="shared" si="6"/>
        <v>0</v>
      </c>
      <c r="AG26" s="125" t="e">
        <f t="shared" si="7"/>
        <v>#N/A</v>
      </c>
      <c r="AH26" s="117" t="s">
        <v>17</v>
      </c>
      <c r="AI26" s="117"/>
    </row>
    <row r="27" spans="1:35" ht="15" customHeight="1" x14ac:dyDescent="0.35">
      <c r="A27" s="185">
        <v>25</v>
      </c>
      <c r="B27" s="172"/>
      <c r="C27" s="193"/>
      <c r="D27" s="324"/>
      <c r="E27" s="332" t="str">
        <f t="shared" si="0"/>
        <v/>
      </c>
      <c r="F27" s="170"/>
      <c r="G27" s="137"/>
      <c r="H27" s="339" t="str">
        <f t="shared" si="1"/>
        <v/>
      </c>
      <c r="I27" s="393"/>
      <c r="J27" s="169"/>
      <c r="K27" s="328"/>
      <c r="L27" s="330" t="str">
        <f t="shared" si="2"/>
        <v/>
      </c>
      <c r="M27" s="33"/>
      <c r="N27" s="168"/>
      <c r="O27" s="172"/>
      <c r="P27" s="183"/>
      <c r="Q27" s="183"/>
      <c r="R27" s="202"/>
      <c r="S27" s="34"/>
      <c r="T27" s="324"/>
      <c r="U27" s="327" t="str">
        <f t="shared" si="8"/>
        <v/>
      </c>
      <c r="V27" s="325"/>
      <c r="W27" s="320"/>
      <c r="X27" s="334"/>
      <c r="Y27" s="86"/>
      <c r="AA27" s="318"/>
      <c r="AB27" s="180">
        <v>25</v>
      </c>
      <c r="AC27" s="43">
        <f t="shared" si="3"/>
        <v>0</v>
      </c>
      <c r="AD27" s="43">
        <f t="shared" si="4"/>
        <v>0</v>
      </c>
      <c r="AE27" s="43">
        <f t="shared" si="5"/>
        <v>0</v>
      </c>
      <c r="AF27" s="43">
        <f t="shared" si="6"/>
        <v>0</v>
      </c>
      <c r="AG27" s="125" t="e">
        <f t="shared" si="7"/>
        <v>#N/A</v>
      </c>
      <c r="AH27" s="117" t="s">
        <v>18</v>
      </c>
      <c r="AI27" s="117"/>
    </row>
    <row r="28" spans="1:35" ht="15" customHeight="1" x14ac:dyDescent="0.35">
      <c r="A28" s="185">
        <v>26</v>
      </c>
      <c r="B28" s="172"/>
      <c r="C28" s="193"/>
      <c r="D28" s="324"/>
      <c r="E28" s="332" t="str">
        <f t="shared" si="0"/>
        <v/>
      </c>
      <c r="F28" s="170"/>
      <c r="G28" s="137"/>
      <c r="H28" s="339" t="str">
        <f t="shared" si="1"/>
        <v/>
      </c>
      <c r="I28" s="393"/>
      <c r="J28" s="169"/>
      <c r="K28" s="328"/>
      <c r="L28" s="330" t="str">
        <f t="shared" si="2"/>
        <v/>
      </c>
      <c r="M28" s="35"/>
      <c r="N28" s="168"/>
      <c r="O28" s="172"/>
      <c r="P28" s="183"/>
      <c r="Q28" s="183"/>
      <c r="R28" s="202"/>
      <c r="S28" s="34"/>
      <c r="T28" s="324"/>
      <c r="U28" s="327" t="str">
        <f t="shared" si="8"/>
        <v/>
      </c>
      <c r="V28" s="325"/>
      <c r="W28" s="320"/>
      <c r="X28" s="334"/>
      <c r="Y28" s="86"/>
      <c r="AA28" s="318"/>
      <c r="AB28" s="180">
        <v>26</v>
      </c>
      <c r="AC28" s="43">
        <f t="shared" si="3"/>
        <v>0</v>
      </c>
      <c r="AD28" s="43">
        <f t="shared" si="4"/>
        <v>0</v>
      </c>
      <c r="AE28" s="43">
        <f t="shared" si="5"/>
        <v>0</v>
      </c>
      <c r="AF28" s="43">
        <f t="shared" si="6"/>
        <v>0</v>
      </c>
      <c r="AG28" s="125" t="e">
        <f t="shared" si="7"/>
        <v>#N/A</v>
      </c>
      <c r="AH28" s="117"/>
      <c r="AI28" s="117"/>
    </row>
    <row r="29" spans="1:35" ht="15" customHeight="1" x14ac:dyDescent="0.35">
      <c r="A29" s="185">
        <v>27</v>
      </c>
      <c r="B29" s="172"/>
      <c r="C29" s="193"/>
      <c r="D29" s="324"/>
      <c r="E29" s="332" t="str">
        <f t="shared" si="0"/>
        <v/>
      </c>
      <c r="F29" s="170"/>
      <c r="G29" s="137"/>
      <c r="H29" s="339" t="str">
        <f t="shared" si="1"/>
        <v/>
      </c>
      <c r="I29" s="394"/>
      <c r="J29" s="169"/>
      <c r="K29" s="328"/>
      <c r="L29" s="330" t="str">
        <f t="shared" si="2"/>
        <v/>
      </c>
      <c r="M29" s="33"/>
      <c r="N29" s="168"/>
      <c r="O29" s="172"/>
      <c r="P29" s="183"/>
      <c r="Q29" s="183"/>
      <c r="R29" s="202"/>
      <c r="S29" s="34"/>
      <c r="T29" s="324"/>
      <c r="U29" s="327" t="str">
        <f t="shared" si="8"/>
        <v/>
      </c>
      <c r="V29" s="325"/>
      <c r="W29" s="320"/>
      <c r="X29" s="334"/>
      <c r="Y29" s="86"/>
      <c r="AA29" s="318"/>
      <c r="AB29" s="180">
        <v>27</v>
      </c>
      <c r="AC29" s="43">
        <f t="shared" si="3"/>
        <v>0</v>
      </c>
      <c r="AD29" s="43">
        <f t="shared" si="4"/>
        <v>0</v>
      </c>
      <c r="AE29" s="43">
        <f t="shared" si="5"/>
        <v>0</v>
      </c>
      <c r="AF29" s="43">
        <f t="shared" si="6"/>
        <v>0</v>
      </c>
      <c r="AG29" s="125" t="e">
        <f t="shared" si="7"/>
        <v>#N/A</v>
      </c>
      <c r="AH29" s="121" t="s">
        <v>1</v>
      </c>
      <c r="AI29" s="117"/>
    </row>
    <row r="30" spans="1:35" ht="15" customHeight="1" x14ac:dyDescent="0.35">
      <c r="A30" s="185">
        <v>28</v>
      </c>
      <c r="B30" s="172"/>
      <c r="C30" s="193"/>
      <c r="D30" s="324"/>
      <c r="E30" s="332" t="str">
        <f t="shared" si="0"/>
        <v/>
      </c>
      <c r="F30" s="170"/>
      <c r="G30" s="137"/>
      <c r="H30" s="339" t="str">
        <f t="shared" si="1"/>
        <v/>
      </c>
      <c r="I30" s="393"/>
      <c r="J30" s="169"/>
      <c r="K30" s="328"/>
      <c r="L30" s="330" t="str">
        <f t="shared" si="2"/>
        <v/>
      </c>
      <c r="M30" s="35"/>
      <c r="N30" s="168"/>
      <c r="O30" s="172"/>
      <c r="P30" s="183"/>
      <c r="Q30" s="183"/>
      <c r="R30" s="202"/>
      <c r="S30" s="34"/>
      <c r="T30" s="324"/>
      <c r="U30" s="327" t="str">
        <f t="shared" si="8"/>
        <v/>
      </c>
      <c r="V30" s="325"/>
      <c r="W30" s="320"/>
      <c r="X30" s="334"/>
      <c r="Y30" s="86"/>
      <c r="AA30" s="318"/>
      <c r="AB30" s="180">
        <v>28</v>
      </c>
      <c r="AC30" s="43">
        <f t="shared" si="3"/>
        <v>0</v>
      </c>
      <c r="AD30" s="43">
        <f t="shared" si="4"/>
        <v>0</v>
      </c>
      <c r="AE30" s="43">
        <f t="shared" si="5"/>
        <v>0</v>
      </c>
      <c r="AF30" s="43">
        <f t="shared" si="6"/>
        <v>0</v>
      </c>
      <c r="AG30" s="125" t="e">
        <f t="shared" si="7"/>
        <v>#N/A</v>
      </c>
      <c r="AH30" s="117" t="s">
        <v>17</v>
      </c>
      <c r="AI30" s="117"/>
    </row>
    <row r="31" spans="1:35" ht="15" customHeight="1" x14ac:dyDescent="0.35">
      <c r="A31" s="185">
        <v>29</v>
      </c>
      <c r="B31" s="172"/>
      <c r="C31" s="193"/>
      <c r="D31" s="324"/>
      <c r="E31" s="332" t="str">
        <f t="shared" si="0"/>
        <v/>
      </c>
      <c r="F31" s="170"/>
      <c r="G31" s="137"/>
      <c r="H31" s="339" t="str">
        <f t="shared" si="1"/>
        <v/>
      </c>
      <c r="I31" s="393"/>
      <c r="J31" s="169"/>
      <c r="K31" s="328"/>
      <c r="L31" s="330" t="str">
        <f t="shared" si="2"/>
        <v/>
      </c>
      <c r="M31" s="33"/>
      <c r="N31" s="168"/>
      <c r="O31" s="172"/>
      <c r="P31" s="183"/>
      <c r="Q31" s="183"/>
      <c r="R31" s="202"/>
      <c r="S31" s="34"/>
      <c r="T31" s="324"/>
      <c r="U31" s="327" t="str">
        <f t="shared" si="8"/>
        <v/>
      </c>
      <c r="V31" s="325"/>
      <c r="W31" s="320"/>
      <c r="X31" s="334"/>
      <c r="Y31" s="86"/>
      <c r="AA31" s="318"/>
      <c r="AB31" s="180">
        <v>29</v>
      </c>
      <c r="AC31" s="43">
        <f t="shared" si="3"/>
        <v>0</v>
      </c>
      <c r="AD31" s="43">
        <f t="shared" si="4"/>
        <v>0</v>
      </c>
      <c r="AE31" s="43">
        <f t="shared" si="5"/>
        <v>0</v>
      </c>
      <c r="AF31" s="43">
        <f t="shared" si="6"/>
        <v>0</v>
      </c>
      <c r="AG31" s="125" t="e">
        <f t="shared" si="7"/>
        <v>#N/A</v>
      </c>
      <c r="AH31" s="117" t="s">
        <v>18</v>
      </c>
      <c r="AI31" s="117"/>
    </row>
    <row r="32" spans="1:35" ht="15" customHeight="1" x14ac:dyDescent="0.35">
      <c r="A32" s="185">
        <v>30</v>
      </c>
      <c r="B32" s="172"/>
      <c r="C32" s="193"/>
      <c r="D32" s="324"/>
      <c r="E32" s="332" t="str">
        <f t="shared" si="0"/>
        <v/>
      </c>
      <c r="F32" s="170"/>
      <c r="G32" s="137"/>
      <c r="H32" s="339" t="str">
        <f t="shared" si="1"/>
        <v/>
      </c>
      <c r="I32" s="393"/>
      <c r="J32" s="169"/>
      <c r="K32" s="328"/>
      <c r="L32" s="330" t="str">
        <f t="shared" si="2"/>
        <v/>
      </c>
      <c r="M32" s="33"/>
      <c r="N32" s="168"/>
      <c r="O32" s="172"/>
      <c r="P32" s="183"/>
      <c r="Q32" s="183"/>
      <c r="R32" s="202"/>
      <c r="S32" s="34"/>
      <c r="T32" s="324"/>
      <c r="U32" s="327" t="str">
        <f t="shared" si="8"/>
        <v/>
      </c>
      <c r="V32" s="325"/>
      <c r="W32" s="320"/>
      <c r="X32" s="334"/>
      <c r="Y32" s="86"/>
      <c r="AA32" s="318"/>
      <c r="AB32" s="180">
        <v>30</v>
      </c>
      <c r="AC32" s="43">
        <f t="shared" si="3"/>
        <v>0</v>
      </c>
      <c r="AD32" s="43">
        <f t="shared" si="4"/>
        <v>0</v>
      </c>
      <c r="AE32" s="43">
        <f t="shared" si="5"/>
        <v>0</v>
      </c>
      <c r="AF32" s="43">
        <f t="shared" si="6"/>
        <v>0</v>
      </c>
      <c r="AG32" s="125" t="e">
        <f t="shared" si="7"/>
        <v>#N/A</v>
      </c>
      <c r="AH32" s="117"/>
      <c r="AI32" s="117"/>
    </row>
    <row r="33" spans="1:37" ht="15" customHeight="1" x14ac:dyDescent="0.35">
      <c r="A33" s="185">
        <v>31</v>
      </c>
      <c r="B33" s="172"/>
      <c r="C33" s="193"/>
      <c r="D33" s="324"/>
      <c r="E33" s="332" t="str">
        <f t="shared" si="0"/>
        <v/>
      </c>
      <c r="F33" s="170"/>
      <c r="G33" s="137"/>
      <c r="H33" s="339" t="str">
        <f t="shared" si="1"/>
        <v/>
      </c>
      <c r="I33" s="393"/>
      <c r="J33" s="169"/>
      <c r="K33" s="328"/>
      <c r="L33" s="330" t="str">
        <f t="shared" si="2"/>
        <v/>
      </c>
      <c r="M33" s="33"/>
      <c r="N33" s="168"/>
      <c r="O33" s="172"/>
      <c r="P33" s="183"/>
      <c r="Q33" s="183"/>
      <c r="R33" s="202"/>
      <c r="S33" s="34"/>
      <c r="T33" s="324"/>
      <c r="U33" s="327" t="str">
        <f t="shared" si="8"/>
        <v/>
      </c>
      <c r="V33" s="325"/>
      <c r="W33" s="320"/>
      <c r="X33" s="334"/>
      <c r="Y33" s="86"/>
      <c r="AA33" s="318"/>
      <c r="AB33" s="180">
        <v>31</v>
      </c>
      <c r="AC33" s="43">
        <f t="shared" si="3"/>
        <v>0</v>
      </c>
      <c r="AD33" s="43">
        <f t="shared" si="4"/>
        <v>0</v>
      </c>
      <c r="AE33" s="43">
        <f t="shared" si="5"/>
        <v>0</v>
      </c>
      <c r="AF33" s="43">
        <f t="shared" si="6"/>
        <v>0</v>
      </c>
      <c r="AG33" s="125" t="e">
        <f t="shared" si="7"/>
        <v>#N/A</v>
      </c>
      <c r="AH33" s="121" t="s">
        <v>34</v>
      </c>
      <c r="AI33" s="121" t="s">
        <v>124</v>
      </c>
    </row>
    <row r="34" spans="1:37" ht="15" customHeight="1" x14ac:dyDescent="0.35">
      <c r="A34" s="185">
        <v>32</v>
      </c>
      <c r="B34" s="172"/>
      <c r="C34" s="193"/>
      <c r="D34" s="324"/>
      <c r="E34" s="332" t="str">
        <f t="shared" si="0"/>
        <v/>
      </c>
      <c r="F34" s="170"/>
      <c r="G34" s="137"/>
      <c r="H34" s="339" t="str">
        <f t="shared" si="1"/>
        <v/>
      </c>
      <c r="I34" s="393"/>
      <c r="J34" s="169"/>
      <c r="K34" s="328"/>
      <c r="L34" s="330" t="str">
        <f t="shared" si="2"/>
        <v/>
      </c>
      <c r="M34" s="33"/>
      <c r="N34" s="168"/>
      <c r="O34" s="172"/>
      <c r="P34" s="183"/>
      <c r="Q34" s="183"/>
      <c r="R34" s="202"/>
      <c r="S34" s="34"/>
      <c r="T34" s="324"/>
      <c r="U34" s="327" t="str">
        <f t="shared" si="8"/>
        <v/>
      </c>
      <c r="V34" s="325"/>
      <c r="W34" s="320"/>
      <c r="X34" s="334"/>
      <c r="Y34" s="86"/>
      <c r="AA34" s="318"/>
      <c r="AB34" s="180">
        <v>32</v>
      </c>
      <c r="AC34" s="43">
        <f t="shared" si="3"/>
        <v>0</v>
      </c>
      <c r="AD34" s="43">
        <f t="shared" si="4"/>
        <v>0</v>
      </c>
      <c r="AE34" s="43">
        <f t="shared" si="5"/>
        <v>0</v>
      </c>
      <c r="AF34" s="43">
        <f t="shared" si="6"/>
        <v>0</v>
      </c>
      <c r="AG34" s="125" t="e">
        <f t="shared" si="7"/>
        <v>#N/A</v>
      </c>
      <c r="AH34" s="302" t="s">
        <v>43</v>
      </c>
      <c r="AI34" s="290" t="s">
        <v>127</v>
      </c>
    </row>
    <row r="35" spans="1:37" ht="15" customHeight="1" x14ac:dyDescent="0.35">
      <c r="A35" s="185">
        <v>33</v>
      </c>
      <c r="B35" s="172"/>
      <c r="C35" s="193"/>
      <c r="D35" s="324"/>
      <c r="E35" s="332" t="str">
        <f t="shared" ref="E35:E288" si="9">IF(AND(C35&lt;&gt;"",D35&lt;&gt;""),DATEDIF(C35,D35,"y"),"")</f>
        <v/>
      </c>
      <c r="F35" s="170"/>
      <c r="G35" s="137"/>
      <c r="H35" s="339" t="str">
        <f t="shared" si="1"/>
        <v/>
      </c>
      <c r="I35" s="393"/>
      <c r="J35" s="169"/>
      <c r="K35" s="328"/>
      <c r="L35" s="330" t="str">
        <f t="shared" si="2"/>
        <v/>
      </c>
      <c r="M35" s="33"/>
      <c r="N35" s="168"/>
      <c r="O35" s="172"/>
      <c r="P35" s="183"/>
      <c r="Q35" s="183"/>
      <c r="R35" s="202"/>
      <c r="S35" s="34"/>
      <c r="T35" s="324"/>
      <c r="U35" s="327" t="str">
        <f t="shared" si="8"/>
        <v/>
      </c>
      <c r="V35" s="325"/>
      <c r="W35" s="320"/>
      <c r="X35" s="334"/>
      <c r="Y35" s="86"/>
      <c r="AA35" s="318"/>
      <c r="AB35" s="180">
        <v>33</v>
      </c>
      <c r="AC35" s="43">
        <f t="shared" si="3"/>
        <v>0</v>
      </c>
      <c r="AD35" s="43">
        <f t="shared" si="4"/>
        <v>0</v>
      </c>
      <c r="AE35" s="43">
        <f t="shared" si="5"/>
        <v>0</v>
      </c>
      <c r="AF35" s="43">
        <f t="shared" si="6"/>
        <v>0</v>
      </c>
      <c r="AG35" s="125" t="e">
        <f t="shared" si="7"/>
        <v>#N/A</v>
      </c>
      <c r="AH35" s="303" t="s">
        <v>42</v>
      </c>
      <c r="AI35" s="290" t="s">
        <v>128</v>
      </c>
    </row>
    <row r="36" spans="1:37" ht="15" customHeight="1" x14ac:dyDescent="0.35">
      <c r="A36" s="185">
        <v>34</v>
      </c>
      <c r="B36" s="172"/>
      <c r="C36" s="193"/>
      <c r="D36" s="324"/>
      <c r="E36" s="332" t="str">
        <f t="shared" si="9"/>
        <v/>
      </c>
      <c r="F36" s="170"/>
      <c r="G36" s="137"/>
      <c r="H36" s="339" t="str">
        <f t="shared" si="1"/>
        <v/>
      </c>
      <c r="I36" s="394"/>
      <c r="J36" s="169"/>
      <c r="K36" s="328"/>
      <c r="L36" s="330" t="str">
        <f t="shared" si="2"/>
        <v/>
      </c>
      <c r="M36" s="33"/>
      <c r="N36" s="168"/>
      <c r="O36" s="172"/>
      <c r="P36" s="183"/>
      <c r="Q36" s="183"/>
      <c r="R36" s="202"/>
      <c r="S36" s="34"/>
      <c r="T36" s="324"/>
      <c r="U36" s="327" t="str">
        <f t="shared" si="8"/>
        <v/>
      </c>
      <c r="V36" s="325"/>
      <c r="W36" s="320"/>
      <c r="X36" s="334"/>
      <c r="Y36" s="86"/>
      <c r="AA36" s="318"/>
      <c r="AB36" s="180">
        <v>34</v>
      </c>
      <c r="AC36" s="43">
        <f t="shared" si="3"/>
        <v>0</v>
      </c>
      <c r="AD36" s="43">
        <f t="shared" si="4"/>
        <v>0</v>
      </c>
      <c r="AE36" s="43">
        <f t="shared" si="5"/>
        <v>0</v>
      </c>
      <c r="AF36" s="43">
        <f t="shared" si="6"/>
        <v>0</v>
      </c>
      <c r="AG36" s="125" t="e">
        <f t="shared" si="7"/>
        <v>#N/A</v>
      </c>
      <c r="AH36" s="302" t="s">
        <v>130</v>
      </c>
      <c r="AI36" s="290" t="s">
        <v>2</v>
      </c>
    </row>
    <row r="37" spans="1:37" ht="15" customHeight="1" x14ac:dyDescent="0.35">
      <c r="A37" s="185">
        <v>35</v>
      </c>
      <c r="B37" s="172"/>
      <c r="C37" s="193"/>
      <c r="D37" s="324"/>
      <c r="E37" s="332" t="str">
        <f t="shared" si="9"/>
        <v/>
      </c>
      <c r="F37" s="170"/>
      <c r="G37" s="137"/>
      <c r="H37" s="339" t="str">
        <f t="shared" si="1"/>
        <v/>
      </c>
      <c r="I37" s="393"/>
      <c r="J37" s="169"/>
      <c r="K37" s="328"/>
      <c r="L37" s="330" t="str">
        <f t="shared" si="2"/>
        <v/>
      </c>
      <c r="M37" s="33"/>
      <c r="N37" s="168"/>
      <c r="O37" s="172"/>
      <c r="P37" s="183"/>
      <c r="Q37" s="183"/>
      <c r="R37" s="202"/>
      <c r="S37" s="34"/>
      <c r="T37" s="324"/>
      <c r="U37" s="327" t="str">
        <f t="shared" si="8"/>
        <v/>
      </c>
      <c r="V37" s="325"/>
      <c r="W37" s="320"/>
      <c r="X37" s="334"/>
      <c r="Y37" s="86"/>
      <c r="AA37" s="318"/>
      <c r="AB37" s="180">
        <v>35</v>
      </c>
      <c r="AC37" s="43">
        <f t="shared" si="3"/>
        <v>0</v>
      </c>
      <c r="AD37" s="43">
        <f t="shared" si="4"/>
        <v>0</v>
      </c>
      <c r="AE37" s="43">
        <f t="shared" si="5"/>
        <v>0</v>
      </c>
      <c r="AF37" s="43">
        <f t="shared" si="6"/>
        <v>0</v>
      </c>
      <c r="AG37" s="125" t="e">
        <f t="shared" si="7"/>
        <v>#N/A</v>
      </c>
      <c r="AH37" s="54" t="s">
        <v>147</v>
      </c>
      <c r="AI37" s="290" t="s">
        <v>44</v>
      </c>
    </row>
    <row r="38" spans="1:37" ht="15" customHeight="1" x14ac:dyDescent="0.35">
      <c r="A38" s="185">
        <v>36</v>
      </c>
      <c r="B38" s="172"/>
      <c r="C38" s="193"/>
      <c r="D38" s="324"/>
      <c r="E38" s="332" t="str">
        <f t="shared" si="9"/>
        <v/>
      </c>
      <c r="F38" s="170"/>
      <c r="G38" s="137"/>
      <c r="H38" s="339" t="str">
        <f t="shared" si="1"/>
        <v/>
      </c>
      <c r="I38" s="393"/>
      <c r="J38" s="169"/>
      <c r="K38" s="328"/>
      <c r="L38" s="330" t="str">
        <f t="shared" si="2"/>
        <v/>
      </c>
      <c r="M38" s="33"/>
      <c r="N38" s="168"/>
      <c r="O38" s="172"/>
      <c r="P38" s="183"/>
      <c r="Q38" s="183"/>
      <c r="R38" s="202"/>
      <c r="S38" s="34"/>
      <c r="T38" s="324"/>
      <c r="U38" s="327" t="str">
        <f t="shared" si="8"/>
        <v/>
      </c>
      <c r="V38" s="325"/>
      <c r="W38" s="320"/>
      <c r="X38" s="334"/>
      <c r="Y38" s="86"/>
      <c r="AA38" s="318"/>
      <c r="AB38" s="180">
        <v>36</v>
      </c>
      <c r="AC38" s="43">
        <f t="shared" si="3"/>
        <v>0</v>
      </c>
      <c r="AD38" s="43">
        <f t="shared" si="4"/>
        <v>0</v>
      </c>
      <c r="AE38" s="43">
        <f t="shared" si="5"/>
        <v>0</v>
      </c>
      <c r="AF38" s="43">
        <f t="shared" si="6"/>
        <v>0</v>
      </c>
      <c r="AG38" s="125" t="e">
        <f t="shared" si="7"/>
        <v>#N/A</v>
      </c>
      <c r="AH38" s="303" t="s">
        <v>121</v>
      </c>
      <c r="AI38" s="290" t="s">
        <v>151</v>
      </c>
    </row>
    <row r="39" spans="1:37" ht="15" customHeight="1" x14ac:dyDescent="0.35">
      <c r="A39" s="185">
        <v>37</v>
      </c>
      <c r="B39" s="172"/>
      <c r="C39" s="193"/>
      <c r="D39" s="324"/>
      <c r="E39" s="332" t="str">
        <f t="shared" si="9"/>
        <v/>
      </c>
      <c r="F39" s="170"/>
      <c r="G39" s="137"/>
      <c r="H39" s="339" t="str">
        <f t="shared" si="1"/>
        <v/>
      </c>
      <c r="I39" s="393"/>
      <c r="J39" s="169"/>
      <c r="K39" s="328"/>
      <c r="L39" s="330" t="str">
        <f t="shared" si="2"/>
        <v/>
      </c>
      <c r="M39" s="33"/>
      <c r="N39" s="168"/>
      <c r="O39" s="172"/>
      <c r="P39" s="183"/>
      <c r="Q39" s="183"/>
      <c r="R39" s="202"/>
      <c r="S39" s="34"/>
      <c r="T39" s="324"/>
      <c r="U39" s="327" t="str">
        <f t="shared" si="8"/>
        <v/>
      </c>
      <c r="V39" s="325"/>
      <c r="W39" s="320"/>
      <c r="X39" s="334"/>
      <c r="Y39" s="86"/>
      <c r="AA39" s="318"/>
      <c r="AB39" s="180">
        <v>37</v>
      </c>
      <c r="AC39" s="43">
        <f t="shared" si="3"/>
        <v>0</v>
      </c>
      <c r="AD39" s="43">
        <f t="shared" si="4"/>
        <v>0</v>
      </c>
      <c r="AE39" s="43">
        <f t="shared" si="5"/>
        <v>0</v>
      </c>
      <c r="AF39" s="43">
        <f t="shared" si="6"/>
        <v>0</v>
      </c>
      <c r="AG39" s="125" t="e">
        <f t="shared" si="7"/>
        <v>#N/A</v>
      </c>
      <c r="AH39" s="303" t="s">
        <v>131</v>
      </c>
      <c r="AI39" s="290" t="s">
        <v>152</v>
      </c>
    </row>
    <row r="40" spans="1:37" ht="15" customHeight="1" x14ac:dyDescent="0.35">
      <c r="A40" s="185">
        <v>38</v>
      </c>
      <c r="B40" s="172"/>
      <c r="C40" s="193"/>
      <c r="D40" s="324"/>
      <c r="E40" s="332" t="str">
        <f t="shared" si="9"/>
        <v/>
      </c>
      <c r="F40" s="170"/>
      <c r="G40" s="137"/>
      <c r="H40" s="339" t="str">
        <f t="shared" si="1"/>
        <v/>
      </c>
      <c r="I40" s="393"/>
      <c r="J40" s="169"/>
      <c r="K40" s="328"/>
      <c r="L40" s="330" t="str">
        <f t="shared" si="2"/>
        <v/>
      </c>
      <c r="M40" s="33"/>
      <c r="N40" s="168"/>
      <c r="O40" s="172"/>
      <c r="P40" s="183"/>
      <c r="Q40" s="183"/>
      <c r="R40" s="202"/>
      <c r="S40" s="34"/>
      <c r="T40" s="324"/>
      <c r="U40" s="327" t="str">
        <f t="shared" si="8"/>
        <v/>
      </c>
      <c r="V40" s="325"/>
      <c r="W40" s="320"/>
      <c r="X40" s="334"/>
      <c r="Y40" s="86"/>
      <c r="AA40" s="318"/>
      <c r="AB40" s="180">
        <v>38</v>
      </c>
      <c r="AC40" s="43">
        <f t="shared" si="3"/>
        <v>0</v>
      </c>
      <c r="AD40" s="43">
        <f t="shared" si="4"/>
        <v>0</v>
      </c>
      <c r="AE40" s="43">
        <f t="shared" si="5"/>
        <v>0</v>
      </c>
      <c r="AF40" s="43">
        <f t="shared" si="6"/>
        <v>0</v>
      </c>
      <c r="AG40" s="125" t="e">
        <f t="shared" si="7"/>
        <v>#N/A</v>
      </c>
      <c r="AH40" s="303" t="s">
        <v>132</v>
      </c>
      <c r="AI40" s="290" t="s">
        <v>153</v>
      </c>
    </row>
    <row r="41" spans="1:37" ht="15" customHeight="1" x14ac:dyDescent="0.35">
      <c r="A41" s="185">
        <v>39</v>
      </c>
      <c r="B41" s="172"/>
      <c r="C41" s="193"/>
      <c r="D41" s="324"/>
      <c r="E41" s="332" t="str">
        <f t="shared" si="9"/>
        <v/>
      </c>
      <c r="F41" s="170"/>
      <c r="G41" s="137"/>
      <c r="H41" s="339" t="str">
        <f t="shared" si="1"/>
        <v/>
      </c>
      <c r="I41" s="393"/>
      <c r="J41" s="169"/>
      <c r="K41" s="328"/>
      <c r="L41" s="330" t="str">
        <f t="shared" si="2"/>
        <v/>
      </c>
      <c r="M41" s="33"/>
      <c r="N41" s="168"/>
      <c r="O41" s="172"/>
      <c r="P41" s="183"/>
      <c r="Q41" s="183"/>
      <c r="R41" s="202"/>
      <c r="S41" s="34"/>
      <c r="T41" s="324"/>
      <c r="U41" s="327" t="str">
        <f t="shared" si="8"/>
        <v/>
      </c>
      <c r="V41" s="325"/>
      <c r="W41" s="320"/>
      <c r="X41" s="334"/>
      <c r="Y41" s="86"/>
      <c r="AA41" s="318"/>
      <c r="AB41" s="180">
        <v>39</v>
      </c>
      <c r="AC41" s="43">
        <f t="shared" si="3"/>
        <v>0</v>
      </c>
      <c r="AD41" s="43">
        <f t="shared" si="4"/>
        <v>0</v>
      </c>
      <c r="AE41" s="43">
        <f t="shared" si="5"/>
        <v>0</v>
      </c>
      <c r="AF41" s="43">
        <f t="shared" si="6"/>
        <v>0</v>
      </c>
      <c r="AG41" s="125" t="e">
        <f t="shared" si="7"/>
        <v>#N/A</v>
      </c>
      <c r="AH41" s="303" t="s">
        <v>133</v>
      </c>
      <c r="AI41" s="290" t="s">
        <v>171</v>
      </c>
    </row>
    <row r="42" spans="1:37" ht="15" customHeight="1" x14ac:dyDescent="0.35">
      <c r="A42" s="185">
        <v>40</v>
      </c>
      <c r="B42" s="172"/>
      <c r="C42" s="193"/>
      <c r="D42" s="324"/>
      <c r="E42" s="332" t="str">
        <f t="shared" si="9"/>
        <v/>
      </c>
      <c r="F42" s="170"/>
      <c r="G42" s="137"/>
      <c r="H42" s="339" t="str">
        <f t="shared" si="1"/>
        <v/>
      </c>
      <c r="I42" s="393"/>
      <c r="J42" s="169"/>
      <c r="K42" s="328"/>
      <c r="L42" s="330" t="str">
        <f t="shared" si="2"/>
        <v/>
      </c>
      <c r="M42" s="35"/>
      <c r="N42" s="168"/>
      <c r="O42" s="172"/>
      <c r="P42" s="183"/>
      <c r="Q42" s="183"/>
      <c r="R42" s="202"/>
      <c r="S42" s="34"/>
      <c r="T42" s="324"/>
      <c r="U42" s="327" t="str">
        <f t="shared" si="8"/>
        <v/>
      </c>
      <c r="V42" s="325"/>
      <c r="W42" s="320"/>
      <c r="X42" s="334"/>
      <c r="Y42" s="86"/>
      <c r="AA42" s="318"/>
      <c r="AB42" s="180">
        <v>40</v>
      </c>
      <c r="AC42" s="43">
        <f t="shared" si="3"/>
        <v>0</v>
      </c>
      <c r="AD42" s="43">
        <f t="shared" si="4"/>
        <v>0</v>
      </c>
      <c r="AE42" s="43">
        <f t="shared" si="5"/>
        <v>0</v>
      </c>
      <c r="AF42" s="43">
        <f t="shared" si="6"/>
        <v>0</v>
      </c>
      <c r="AG42" s="125" t="e">
        <f t="shared" si="7"/>
        <v>#N/A</v>
      </c>
      <c r="AH42" s="303" t="s">
        <v>134</v>
      </c>
      <c r="AI42" s="290" t="s">
        <v>156</v>
      </c>
    </row>
    <row r="43" spans="1:37" ht="15" customHeight="1" x14ac:dyDescent="0.35">
      <c r="A43" s="185">
        <v>41</v>
      </c>
      <c r="B43" s="172"/>
      <c r="C43" s="193"/>
      <c r="D43" s="324"/>
      <c r="E43" s="332" t="str">
        <f t="shared" si="9"/>
        <v/>
      </c>
      <c r="F43" s="170"/>
      <c r="G43" s="137"/>
      <c r="H43" s="339" t="str">
        <f t="shared" si="1"/>
        <v/>
      </c>
      <c r="I43" s="394"/>
      <c r="J43" s="169"/>
      <c r="K43" s="328"/>
      <c r="L43" s="330" t="str">
        <f t="shared" si="2"/>
        <v/>
      </c>
      <c r="M43" s="33"/>
      <c r="N43" s="168"/>
      <c r="O43" s="172"/>
      <c r="P43" s="183"/>
      <c r="Q43" s="183"/>
      <c r="R43" s="202"/>
      <c r="S43" s="34"/>
      <c r="T43" s="324"/>
      <c r="U43" s="327" t="str">
        <f t="shared" si="8"/>
        <v/>
      </c>
      <c r="V43" s="325"/>
      <c r="W43" s="320"/>
      <c r="X43" s="334"/>
      <c r="Y43" s="86"/>
      <c r="AA43" s="318"/>
      <c r="AB43" s="180">
        <v>41</v>
      </c>
      <c r="AC43" s="43">
        <f t="shared" si="3"/>
        <v>0</v>
      </c>
      <c r="AD43" s="43">
        <f t="shared" si="4"/>
        <v>0</v>
      </c>
      <c r="AE43" s="43">
        <f t="shared" si="5"/>
        <v>0</v>
      </c>
      <c r="AF43" s="43">
        <f t="shared" si="6"/>
        <v>0</v>
      </c>
      <c r="AG43" s="125" t="e">
        <f t="shared" si="7"/>
        <v>#N/A</v>
      </c>
      <c r="AH43" s="303" t="s">
        <v>135</v>
      </c>
      <c r="AI43" s="290" t="s">
        <v>144</v>
      </c>
      <c r="AJ43" s="7"/>
      <c r="AK43" s="7"/>
    </row>
    <row r="44" spans="1:37" ht="15" customHeight="1" x14ac:dyDescent="0.35">
      <c r="A44" s="185">
        <v>42</v>
      </c>
      <c r="B44" s="172"/>
      <c r="C44" s="193"/>
      <c r="D44" s="324"/>
      <c r="E44" s="332" t="str">
        <f t="shared" si="9"/>
        <v/>
      </c>
      <c r="F44" s="170"/>
      <c r="G44" s="137"/>
      <c r="H44" s="339" t="str">
        <f t="shared" si="1"/>
        <v/>
      </c>
      <c r="I44" s="393"/>
      <c r="J44" s="169"/>
      <c r="K44" s="328"/>
      <c r="L44" s="330" t="str">
        <f t="shared" si="2"/>
        <v/>
      </c>
      <c r="M44" s="35"/>
      <c r="N44" s="168"/>
      <c r="O44" s="172"/>
      <c r="P44" s="183"/>
      <c r="Q44" s="183"/>
      <c r="R44" s="202"/>
      <c r="S44" s="34"/>
      <c r="T44" s="324"/>
      <c r="U44" s="327" t="str">
        <f t="shared" si="8"/>
        <v/>
      </c>
      <c r="V44" s="325"/>
      <c r="W44" s="320"/>
      <c r="X44" s="334"/>
      <c r="Y44" s="86"/>
      <c r="AA44" s="318"/>
      <c r="AB44" s="180">
        <v>42</v>
      </c>
      <c r="AC44" s="43">
        <f t="shared" si="3"/>
        <v>0</v>
      </c>
      <c r="AD44" s="43">
        <f t="shared" si="4"/>
        <v>0</v>
      </c>
      <c r="AE44" s="43">
        <f t="shared" si="5"/>
        <v>0</v>
      </c>
      <c r="AF44" s="43">
        <f t="shared" si="6"/>
        <v>0</v>
      </c>
      <c r="AG44" s="125" t="e">
        <f t="shared" si="7"/>
        <v>#N/A</v>
      </c>
      <c r="AH44" s="303" t="s">
        <v>35</v>
      </c>
      <c r="AI44" s="290" t="s">
        <v>129</v>
      </c>
    </row>
    <row r="45" spans="1:37" ht="15" customHeight="1" x14ac:dyDescent="0.35">
      <c r="A45" s="185">
        <v>43</v>
      </c>
      <c r="B45" s="172"/>
      <c r="C45" s="193"/>
      <c r="D45" s="324"/>
      <c r="E45" s="332" t="str">
        <f t="shared" si="9"/>
        <v/>
      </c>
      <c r="F45" s="170"/>
      <c r="G45" s="137"/>
      <c r="H45" s="339" t="str">
        <f t="shared" si="1"/>
        <v/>
      </c>
      <c r="I45" s="393"/>
      <c r="J45" s="169"/>
      <c r="K45" s="328"/>
      <c r="L45" s="330" t="str">
        <f t="shared" si="2"/>
        <v/>
      </c>
      <c r="M45" s="35"/>
      <c r="N45" s="168"/>
      <c r="O45" s="172"/>
      <c r="P45" s="183"/>
      <c r="Q45" s="183"/>
      <c r="R45" s="202"/>
      <c r="S45" s="34"/>
      <c r="T45" s="324"/>
      <c r="U45" s="327" t="str">
        <f t="shared" si="8"/>
        <v/>
      </c>
      <c r="V45" s="325"/>
      <c r="W45" s="320"/>
      <c r="X45" s="334"/>
      <c r="Y45" s="86"/>
      <c r="AA45" s="318"/>
      <c r="AB45" s="180">
        <v>43</v>
      </c>
      <c r="AC45" s="43">
        <f t="shared" si="3"/>
        <v>0</v>
      </c>
      <c r="AD45" s="43">
        <f t="shared" si="4"/>
        <v>0</v>
      </c>
      <c r="AE45" s="43">
        <f t="shared" si="5"/>
        <v>0</v>
      </c>
      <c r="AF45" s="43">
        <f t="shared" si="6"/>
        <v>0</v>
      </c>
      <c r="AG45" s="125" t="e">
        <f t="shared" si="7"/>
        <v>#N/A</v>
      </c>
      <c r="AH45" s="303" t="s">
        <v>36</v>
      </c>
      <c r="AI45" s="123" t="s">
        <v>154</v>
      </c>
      <c r="AJ45" s="5"/>
      <c r="AK45" s="5"/>
    </row>
    <row r="46" spans="1:37" ht="15" customHeight="1" x14ac:dyDescent="0.35">
      <c r="A46" s="185">
        <v>44</v>
      </c>
      <c r="B46" s="172"/>
      <c r="C46" s="193"/>
      <c r="D46" s="324"/>
      <c r="E46" s="332" t="str">
        <f t="shared" si="9"/>
        <v/>
      </c>
      <c r="F46" s="170"/>
      <c r="G46" s="137"/>
      <c r="H46" s="339" t="str">
        <f t="shared" si="1"/>
        <v/>
      </c>
      <c r="I46" s="393"/>
      <c r="J46" s="169"/>
      <c r="K46" s="328"/>
      <c r="L46" s="330" t="str">
        <f t="shared" si="2"/>
        <v/>
      </c>
      <c r="M46" s="35"/>
      <c r="N46" s="168"/>
      <c r="O46" s="172"/>
      <c r="P46" s="183"/>
      <c r="Q46" s="183"/>
      <c r="R46" s="202"/>
      <c r="S46" s="34"/>
      <c r="T46" s="324"/>
      <c r="U46" s="327" t="str">
        <f t="shared" si="8"/>
        <v/>
      </c>
      <c r="V46" s="325"/>
      <c r="W46" s="320"/>
      <c r="X46" s="334"/>
      <c r="Y46" s="86"/>
      <c r="AA46" s="318"/>
      <c r="AB46" s="180">
        <v>44</v>
      </c>
      <c r="AC46" s="43">
        <f t="shared" si="3"/>
        <v>0</v>
      </c>
      <c r="AD46" s="43">
        <f t="shared" si="4"/>
        <v>0</v>
      </c>
      <c r="AE46" s="43">
        <f t="shared" si="5"/>
        <v>0</v>
      </c>
      <c r="AF46" s="43">
        <f t="shared" si="6"/>
        <v>0</v>
      </c>
      <c r="AG46" s="125" t="e">
        <f t="shared" si="7"/>
        <v>#N/A</v>
      </c>
      <c r="AH46" s="303" t="s">
        <v>136</v>
      </c>
      <c r="AI46" s="123" t="s">
        <v>155</v>
      </c>
      <c r="AJ46" s="5"/>
      <c r="AK46" s="5"/>
    </row>
    <row r="47" spans="1:37" ht="15" customHeight="1" x14ac:dyDescent="0.35">
      <c r="A47" s="185">
        <v>45</v>
      </c>
      <c r="B47" s="172"/>
      <c r="C47" s="193"/>
      <c r="D47" s="324"/>
      <c r="E47" s="332" t="str">
        <f t="shared" si="9"/>
        <v/>
      </c>
      <c r="F47" s="170"/>
      <c r="G47" s="137"/>
      <c r="H47" s="339" t="str">
        <f t="shared" si="1"/>
        <v/>
      </c>
      <c r="I47" s="393"/>
      <c r="J47" s="169"/>
      <c r="K47" s="328"/>
      <c r="L47" s="330" t="str">
        <f t="shared" si="2"/>
        <v/>
      </c>
      <c r="M47" s="33"/>
      <c r="N47" s="168"/>
      <c r="O47" s="172"/>
      <c r="P47" s="183"/>
      <c r="Q47" s="183"/>
      <c r="R47" s="202"/>
      <c r="S47" s="34"/>
      <c r="T47" s="324"/>
      <c r="U47" s="327" t="str">
        <f t="shared" si="8"/>
        <v/>
      </c>
      <c r="V47" s="325"/>
      <c r="W47" s="320"/>
      <c r="X47" s="334"/>
      <c r="Y47" s="86"/>
      <c r="AA47" s="318"/>
      <c r="AB47" s="180">
        <v>45</v>
      </c>
      <c r="AC47" s="43">
        <f t="shared" si="3"/>
        <v>0</v>
      </c>
      <c r="AD47" s="43">
        <f t="shared" si="4"/>
        <v>0</v>
      </c>
      <c r="AE47" s="43">
        <f t="shared" si="5"/>
        <v>0</v>
      </c>
      <c r="AF47" s="43">
        <f t="shared" si="6"/>
        <v>0</v>
      </c>
      <c r="AG47" s="125" t="e">
        <f t="shared" si="7"/>
        <v>#N/A</v>
      </c>
      <c r="AH47" s="303" t="s">
        <v>37</v>
      </c>
      <c r="AI47" s="123" t="s">
        <v>146</v>
      </c>
      <c r="AJ47" s="5"/>
      <c r="AK47" s="5"/>
    </row>
    <row r="48" spans="1:37" ht="15" customHeight="1" x14ac:dyDescent="0.35">
      <c r="A48" s="185">
        <v>46</v>
      </c>
      <c r="B48" s="172"/>
      <c r="C48" s="193"/>
      <c r="D48" s="324"/>
      <c r="E48" s="332" t="str">
        <f t="shared" si="9"/>
        <v/>
      </c>
      <c r="F48" s="170"/>
      <c r="G48" s="137"/>
      <c r="H48" s="339" t="str">
        <f t="shared" si="1"/>
        <v/>
      </c>
      <c r="I48" s="393"/>
      <c r="J48" s="169"/>
      <c r="K48" s="328"/>
      <c r="L48" s="330" t="str">
        <f t="shared" si="2"/>
        <v/>
      </c>
      <c r="M48" s="35"/>
      <c r="N48" s="168"/>
      <c r="O48" s="172"/>
      <c r="P48" s="183"/>
      <c r="Q48" s="183"/>
      <c r="R48" s="202"/>
      <c r="S48" s="34"/>
      <c r="T48" s="324"/>
      <c r="U48" s="327" t="str">
        <f t="shared" si="8"/>
        <v/>
      </c>
      <c r="V48" s="325"/>
      <c r="W48" s="320"/>
      <c r="X48" s="334"/>
      <c r="Y48" s="86"/>
      <c r="AA48" s="318"/>
      <c r="AB48" s="180">
        <v>46</v>
      </c>
      <c r="AC48" s="43">
        <f t="shared" si="3"/>
        <v>0</v>
      </c>
      <c r="AD48" s="43">
        <f t="shared" si="4"/>
        <v>0</v>
      </c>
      <c r="AE48" s="43">
        <f t="shared" si="5"/>
        <v>0</v>
      </c>
      <c r="AF48" s="43">
        <f t="shared" si="6"/>
        <v>0</v>
      </c>
      <c r="AG48" s="125" t="e">
        <f t="shared" si="7"/>
        <v>#N/A</v>
      </c>
      <c r="AH48" s="303" t="s">
        <v>38</v>
      </c>
      <c r="AI48" s="45"/>
      <c r="AJ48" s="5"/>
      <c r="AK48" s="5"/>
    </row>
    <row r="49" spans="1:37" ht="15" customHeight="1" x14ac:dyDescent="0.35">
      <c r="A49" s="185">
        <v>47</v>
      </c>
      <c r="B49" s="172"/>
      <c r="C49" s="193"/>
      <c r="D49" s="324"/>
      <c r="E49" s="332" t="str">
        <f t="shared" si="9"/>
        <v/>
      </c>
      <c r="F49" s="170"/>
      <c r="G49" s="137"/>
      <c r="H49" s="339" t="str">
        <f t="shared" si="1"/>
        <v/>
      </c>
      <c r="I49" s="393"/>
      <c r="J49" s="169"/>
      <c r="K49" s="328"/>
      <c r="L49" s="330" t="str">
        <f t="shared" si="2"/>
        <v/>
      </c>
      <c r="M49" s="33"/>
      <c r="N49" s="168"/>
      <c r="O49" s="172"/>
      <c r="P49" s="183"/>
      <c r="Q49" s="183"/>
      <c r="R49" s="202"/>
      <c r="S49" s="34"/>
      <c r="T49" s="324"/>
      <c r="U49" s="327" t="str">
        <f t="shared" si="8"/>
        <v/>
      </c>
      <c r="V49" s="325"/>
      <c r="W49" s="320"/>
      <c r="X49" s="334"/>
      <c r="Y49" s="86"/>
      <c r="AA49" s="318"/>
      <c r="AB49" s="180">
        <v>47</v>
      </c>
      <c r="AC49" s="43">
        <f t="shared" si="3"/>
        <v>0</v>
      </c>
      <c r="AD49" s="43">
        <f t="shared" si="4"/>
        <v>0</v>
      </c>
      <c r="AE49" s="43">
        <f t="shared" si="5"/>
        <v>0</v>
      </c>
      <c r="AF49" s="43">
        <f t="shared" si="6"/>
        <v>0</v>
      </c>
      <c r="AG49" s="125" t="e">
        <f t="shared" si="7"/>
        <v>#N/A</v>
      </c>
      <c r="AH49" s="303" t="s">
        <v>137</v>
      </c>
      <c r="AI49" s="45"/>
      <c r="AJ49" s="9"/>
      <c r="AK49" s="9"/>
    </row>
    <row r="50" spans="1:37" ht="15" customHeight="1" x14ac:dyDescent="0.35">
      <c r="A50" s="185">
        <v>48</v>
      </c>
      <c r="B50" s="172"/>
      <c r="C50" s="193"/>
      <c r="D50" s="324"/>
      <c r="E50" s="332" t="str">
        <f t="shared" si="9"/>
        <v/>
      </c>
      <c r="F50" s="170"/>
      <c r="G50" s="137"/>
      <c r="H50" s="339" t="str">
        <f t="shared" si="1"/>
        <v/>
      </c>
      <c r="I50" s="394"/>
      <c r="J50" s="169"/>
      <c r="K50" s="328"/>
      <c r="L50" s="330" t="str">
        <f t="shared" si="2"/>
        <v/>
      </c>
      <c r="M50" s="35"/>
      <c r="N50" s="168"/>
      <c r="O50" s="172"/>
      <c r="P50" s="183"/>
      <c r="Q50" s="183"/>
      <c r="R50" s="202"/>
      <c r="S50" s="34"/>
      <c r="T50" s="324"/>
      <c r="U50" s="327" t="str">
        <f t="shared" si="8"/>
        <v/>
      </c>
      <c r="V50" s="325"/>
      <c r="W50" s="320"/>
      <c r="X50" s="334"/>
      <c r="Y50" s="86"/>
      <c r="AA50" s="318"/>
      <c r="AB50" s="180">
        <v>48</v>
      </c>
      <c r="AC50" s="43">
        <f t="shared" si="3"/>
        <v>0</v>
      </c>
      <c r="AD50" s="43">
        <f t="shared" si="4"/>
        <v>0</v>
      </c>
      <c r="AE50" s="43">
        <f t="shared" si="5"/>
        <v>0</v>
      </c>
      <c r="AF50" s="43">
        <f t="shared" si="6"/>
        <v>0</v>
      </c>
      <c r="AG50" s="125" t="e">
        <f t="shared" si="7"/>
        <v>#N/A</v>
      </c>
      <c r="AH50" s="54" t="s">
        <v>138</v>
      </c>
      <c r="AI50" s="117"/>
    </row>
    <row r="51" spans="1:37" ht="15" customHeight="1" x14ac:dyDescent="0.35">
      <c r="A51" s="185">
        <v>49</v>
      </c>
      <c r="B51" s="194"/>
      <c r="C51" s="193"/>
      <c r="D51" s="324"/>
      <c r="E51" s="332" t="str">
        <f t="shared" si="9"/>
        <v/>
      </c>
      <c r="F51" s="170"/>
      <c r="G51" s="137"/>
      <c r="H51" s="339" t="str">
        <f t="shared" si="1"/>
        <v/>
      </c>
      <c r="I51" s="393"/>
      <c r="J51" s="169"/>
      <c r="K51" s="328"/>
      <c r="L51" s="330" t="str">
        <f t="shared" si="2"/>
        <v/>
      </c>
      <c r="M51" s="33"/>
      <c r="N51" s="168"/>
      <c r="O51" s="172"/>
      <c r="P51" s="183"/>
      <c r="Q51" s="183"/>
      <c r="R51" s="202"/>
      <c r="S51" s="34"/>
      <c r="T51" s="324"/>
      <c r="U51" s="327" t="str">
        <f t="shared" si="8"/>
        <v/>
      </c>
      <c r="V51" s="325"/>
      <c r="W51" s="320"/>
      <c r="X51" s="334"/>
      <c r="Y51" s="86"/>
      <c r="AA51" s="318"/>
      <c r="AB51" s="180">
        <v>49</v>
      </c>
      <c r="AC51" s="43">
        <f t="shared" si="3"/>
        <v>0</v>
      </c>
      <c r="AD51" s="43">
        <f t="shared" si="4"/>
        <v>0</v>
      </c>
      <c r="AE51" s="43">
        <f t="shared" si="5"/>
        <v>0</v>
      </c>
      <c r="AF51" s="43">
        <f t="shared" si="6"/>
        <v>0</v>
      </c>
      <c r="AG51" s="125" t="e">
        <f t="shared" si="7"/>
        <v>#N/A</v>
      </c>
      <c r="AH51" s="303" t="s">
        <v>39</v>
      </c>
      <c r="AI51" s="117"/>
    </row>
    <row r="52" spans="1:37" ht="15" customHeight="1" x14ac:dyDescent="0.35">
      <c r="A52" s="185">
        <v>50</v>
      </c>
      <c r="B52" s="172"/>
      <c r="C52" s="193"/>
      <c r="D52" s="324"/>
      <c r="E52" s="332" t="str">
        <f t="shared" si="9"/>
        <v/>
      </c>
      <c r="F52" s="170"/>
      <c r="G52" s="137"/>
      <c r="H52" s="339" t="str">
        <f t="shared" si="1"/>
        <v/>
      </c>
      <c r="I52" s="393"/>
      <c r="J52" s="169"/>
      <c r="K52" s="328"/>
      <c r="L52" s="330" t="str">
        <f t="shared" si="2"/>
        <v/>
      </c>
      <c r="M52" s="33"/>
      <c r="N52" s="168"/>
      <c r="O52" s="172"/>
      <c r="P52" s="183"/>
      <c r="Q52" s="183"/>
      <c r="R52" s="202"/>
      <c r="S52" s="34"/>
      <c r="T52" s="324"/>
      <c r="U52" s="327" t="str">
        <f t="shared" si="8"/>
        <v/>
      </c>
      <c r="V52" s="325"/>
      <c r="W52" s="320"/>
      <c r="X52" s="334"/>
      <c r="Y52" s="86"/>
      <c r="AA52" s="318"/>
      <c r="AB52" s="370">
        <v>50</v>
      </c>
      <c r="AC52" s="371">
        <f t="shared" ref="AC52" si="10">IF(AND(E52&gt;0,E52&lt;25),1,0)</f>
        <v>0</v>
      </c>
      <c r="AD52" s="371">
        <f t="shared" ref="AD52" si="11">IF(AND(E52&gt;24,E52&lt;35),1,0)</f>
        <v>0</v>
      </c>
      <c r="AE52" s="371">
        <f t="shared" ref="AE52" si="12">IF(AND(E52&gt;34,E52&lt;60),1,0)</f>
        <v>0</v>
      </c>
      <c r="AF52" s="371">
        <f t="shared" ref="AF52" si="13">IF(AND(E52&gt;59,E52&lt;151),1,0)</f>
        <v>0</v>
      </c>
      <c r="AG52" s="125" t="e">
        <f t="shared" ref="AG52" si="14">_xlfn.IFS(AC52=1,1,AD52=1,2,AE52=1,3,AF52=1,4)</f>
        <v>#N/A</v>
      </c>
      <c r="AH52" s="303" t="s">
        <v>40</v>
      </c>
      <c r="AI52" s="117"/>
    </row>
    <row r="53" spans="1:37" s="7" customFormat="1" ht="15" customHeight="1" x14ac:dyDescent="0.35">
      <c r="A53" s="185">
        <v>51</v>
      </c>
      <c r="B53" s="172"/>
      <c r="C53" s="193"/>
      <c r="D53" s="324"/>
      <c r="E53" s="332" t="str">
        <f t="shared" si="9"/>
        <v/>
      </c>
      <c r="F53" s="170"/>
      <c r="G53" s="137"/>
      <c r="H53" s="339" t="str">
        <f t="shared" si="1"/>
        <v/>
      </c>
      <c r="I53" s="393"/>
      <c r="J53" s="169"/>
      <c r="K53" s="328"/>
      <c r="L53" s="330" t="str">
        <f t="shared" si="2"/>
        <v/>
      </c>
      <c r="M53" s="33"/>
      <c r="N53" s="168"/>
      <c r="O53" s="172"/>
      <c r="P53" s="183"/>
      <c r="Q53" s="183"/>
      <c r="R53" s="202"/>
      <c r="S53" s="34"/>
      <c r="T53" s="324"/>
      <c r="U53" s="327" t="str">
        <f t="shared" si="8"/>
        <v/>
      </c>
      <c r="V53" s="325"/>
      <c r="W53" s="320"/>
      <c r="X53" s="334"/>
      <c r="Y53" s="115"/>
      <c r="Z53" s="317"/>
      <c r="AA53" s="317"/>
      <c r="AB53" s="370">
        <v>51</v>
      </c>
      <c r="AC53" s="371">
        <f t="shared" ref="AC53:AC352" si="15">IF(AND(E53&gt;0,E53&lt;25),1,0)</f>
        <v>0</v>
      </c>
      <c r="AD53" s="371">
        <f t="shared" ref="AD53:AD352" si="16">IF(AND(E53&gt;24,E53&lt;35),1,0)</f>
        <v>0</v>
      </c>
      <c r="AE53" s="371">
        <f t="shared" ref="AE53:AE352" si="17">IF(AND(E53&gt;34,E53&lt;60),1,0)</f>
        <v>0</v>
      </c>
      <c r="AF53" s="371">
        <f t="shared" ref="AF53:AF352" si="18">IF(AND(E53&gt;59,E53&lt;151),1,0)</f>
        <v>0</v>
      </c>
      <c r="AG53" s="125" t="e">
        <f t="shared" ref="AG53:AG352" si="19">_xlfn.IFS(AC53=1,1,AD53=1,2,AE53=1,3,AF53=1,4)</f>
        <v>#N/A</v>
      </c>
      <c r="AH53" s="54" t="s">
        <v>139</v>
      </c>
      <c r="AI53" s="4"/>
      <c r="AJ53" s="4"/>
      <c r="AK53" s="4"/>
    </row>
    <row r="54" spans="1:37" ht="15" customHeight="1" x14ac:dyDescent="0.35">
      <c r="A54" s="185">
        <v>52</v>
      </c>
      <c r="B54" s="172"/>
      <c r="C54" s="193"/>
      <c r="D54" s="324"/>
      <c r="E54" s="332" t="str">
        <f t="shared" si="9"/>
        <v/>
      </c>
      <c r="F54" s="170"/>
      <c r="G54" s="137"/>
      <c r="H54" s="339" t="str">
        <f t="shared" si="1"/>
        <v/>
      </c>
      <c r="I54" s="393"/>
      <c r="J54" s="169"/>
      <c r="K54" s="328"/>
      <c r="L54" s="330" t="str">
        <f t="shared" si="2"/>
        <v/>
      </c>
      <c r="M54" s="33"/>
      <c r="N54" s="168"/>
      <c r="O54" s="172"/>
      <c r="P54" s="183"/>
      <c r="Q54" s="183"/>
      <c r="R54" s="202"/>
      <c r="S54" s="34"/>
      <c r="T54" s="324"/>
      <c r="U54" s="327" t="str">
        <f t="shared" si="8"/>
        <v/>
      </c>
      <c r="V54" s="325"/>
      <c r="W54" s="320"/>
      <c r="X54" s="334"/>
      <c r="AB54" s="370">
        <v>52</v>
      </c>
      <c r="AC54" s="371">
        <f t="shared" si="15"/>
        <v>0</v>
      </c>
      <c r="AD54" s="371">
        <f t="shared" si="16"/>
        <v>0</v>
      </c>
      <c r="AE54" s="371">
        <f t="shared" si="17"/>
        <v>0</v>
      </c>
      <c r="AF54" s="371">
        <f t="shared" si="18"/>
        <v>0</v>
      </c>
      <c r="AG54" s="125" t="e">
        <f t="shared" si="19"/>
        <v>#N/A</v>
      </c>
      <c r="AH54" s="54" t="s">
        <v>140</v>
      </c>
    </row>
    <row r="55" spans="1:37" s="5" customFormat="1" ht="15" customHeight="1" x14ac:dyDescent="0.35">
      <c r="A55" s="185">
        <v>53</v>
      </c>
      <c r="B55" s="172"/>
      <c r="C55" s="193"/>
      <c r="D55" s="324"/>
      <c r="E55" s="332" t="str">
        <f t="shared" si="9"/>
        <v/>
      </c>
      <c r="F55" s="170"/>
      <c r="G55" s="137"/>
      <c r="H55" s="339" t="str">
        <f t="shared" si="1"/>
        <v/>
      </c>
      <c r="I55" s="393"/>
      <c r="J55" s="169"/>
      <c r="K55" s="328"/>
      <c r="L55" s="330" t="str">
        <f t="shared" si="2"/>
        <v/>
      </c>
      <c r="M55" s="33"/>
      <c r="N55" s="168"/>
      <c r="O55" s="172"/>
      <c r="P55" s="183"/>
      <c r="Q55" s="183"/>
      <c r="R55" s="202"/>
      <c r="S55" s="34"/>
      <c r="T55" s="324"/>
      <c r="U55" s="327" t="str">
        <f t="shared" si="8"/>
        <v/>
      </c>
      <c r="V55" s="325"/>
      <c r="W55" s="320"/>
      <c r="X55" s="334"/>
      <c r="Y55" s="319"/>
      <c r="Z55" s="319"/>
      <c r="AA55" s="319"/>
      <c r="AB55" s="370">
        <v>53</v>
      </c>
      <c r="AC55" s="371">
        <f t="shared" si="15"/>
        <v>0</v>
      </c>
      <c r="AD55" s="371">
        <f t="shared" si="16"/>
        <v>0</v>
      </c>
      <c r="AE55" s="371">
        <f t="shared" si="17"/>
        <v>0</v>
      </c>
      <c r="AF55" s="371">
        <f t="shared" si="18"/>
        <v>0</v>
      </c>
      <c r="AG55" s="125" t="e">
        <f t="shared" si="19"/>
        <v>#N/A</v>
      </c>
      <c r="AH55" s="54" t="s">
        <v>126</v>
      </c>
      <c r="AI55" s="4"/>
      <c r="AJ55" s="4"/>
      <c r="AK55" s="4"/>
    </row>
    <row r="56" spans="1:37" s="5" customFormat="1" ht="15" customHeight="1" x14ac:dyDescent="0.35">
      <c r="A56" s="185">
        <v>54</v>
      </c>
      <c r="B56" s="172"/>
      <c r="C56" s="193"/>
      <c r="D56" s="324"/>
      <c r="E56" s="332" t="str">
        <f t="shared" si="9"/>
        <v/>
      </c>
      <c r="F56" s="170"/>
      <c r="G56" s="137"/>
      <c r="H56" s="339" t="str">
        <f t="shared" si="1"/>
        <v/>
      </c>
      <c r="I56" s="393"/>
      <c r="J56" s="169"/>
      <c r="K56" s="328"/>
      <c r="L56" s="330" t="str">
        <f t="shared" si="2"/>
        <v/>
      </c>
      <c r="M56" s="33"/>
      <c r="N56" s="168"/>
      <c r="O56" s="172"/>
      <c r="P56" s="183"/>
      <c r="Q56" s="183"/>
      <c r="R56" s="202"/>
      <c r="S56" s="34"/>
      <c r="T56" s="324"/>
      <c r="U56" s="327" t="str">
        <f t="shared" si="8"/>
        <v/>
      </c>
      <c r="V56" s="325"/>
      <c r="W56" s="320"/>
      <c r="X56" s="334"/>
      <c r="Y56" s="319"/>
      <c r="Z56" s="319"/>
      <c r="AA56" s="319"/>
      <c r="AB56" s="370">
        <v>54</v>
      </c>
      <c r="AC56" s="371">
        <f t="shared" si="15"/>
        <v>0</v>
      </c>
      <c r="AD56" s="371">
        <f t="shared" si="16"/>
        <v>0</v>
      </c>
      <c r="AE56" s="371">
        <f t="shared" si="17"/>
        <v>0</v>
      </c>
      <c r="AF56" s="371">
        <f t="shared" si="18"/>
        <v>0</v>
      </c>
      <c r="AG56" s="125" t="e">
        <f t="shared" si="19"/>
        <v>#N/A</v>
      </c>
      <c r="AH56" s="54" t="s">
        <v>141</v>
      </c>
      <c r="AI56" s="4"/>
      <c r="AJ56" s="4"/>
      <c r="AK56" s="4"/>
    </row>
    <row r="57" spans="1:37" s="5" customFormat="1" ht="15" customHeight="1" x14ac:dyDescent="0.35">
      <c r="A57" s="185">
        <v>55</v>
      </c>
      <c r="B57" s="172"/>
      <c r="C57" s="193"/>
      <c r="D57" s="324"/>
      <c r="E57" s="332" t="str">
        <f t="shared" si="9"/>
        <v/>
      </c>
      <c r="F57" s="170"/>
      <c r="G57" s="137"/>
      <c r="H57" s="339" t="str">
        <f t="shared" si="1"/>
        <v/>
      </c>
      <c r="I57" s="394"/>
      <c r="J57" s="169"/>
      <c r="K57" s="328"/>
      <c r="L57" s="330" t="str">
        <f t="shared" si="2"/>
        <v/>
      </c>
      <c r="M57" s="33"/>
      <c r="N57" s="168"/>
      <c r="O57" s="172"/>
      <c r="P57" s="183"/>
      <c r="Q57" s="183"/>
      <c r="R57" s="202"/>
      <c r="S57" s="34"/>
      <c r="T57" s="324"/>
      <c r="U57" s="327" t="str">
        <f t="shared" si="8"/>
        <v/>
      </c>
      <c r="V57" s="325"/>
      <c r="W57" s="320"/>
      <c r="X57" s="334"/>
      <c r="Y57" s="319"/>
      <c r="Z57" s="319"/>
      <c r="AA57" s="319"/>
      <c r="AB57" s="370">
        <v>55</v>
      </c>
      <c r="AC57" s="371">
        <f t="shared" si="15"/>
        <v>0</v>
      </c>
      <c r="AD57" s="371">
        <f t="shared" si="16"/>
        <v>0</v>
      </c>
      <c r="AE57" s="371">
        <f t="shared" si="17"/>
        <v>0</v>
      </c>
      <c r="AF57" s="371">
        <f t="shared" si="18"/>
        <v>0</v>
      </c>
      <c r="AG57" s="125" t="e">
        <f t="shared" si="19"/>
        <v>#N/A</v>
      </c>
      <c r="AH57" s="52" t="s">
        <v>148</v>
      </c>
      <c r="AI57" s="4"/>
      <c r="AJ57" s="4"/>
      <c r="AK57" s="4"/>
    </row>
    <row r="58" spans="1:37" s="5" customFormat="1" ht="15" customHeight="1" x14ac:dyDescent="0.35">
      <c r="A58" s="185">
        <v>56</v>
      </c>
      <c r="B58" s="172"/>
      <c r="C58" s="193"/>
      <c r="D58" s="324"/>
      <c r="E58" s="332" t="str">
        <f t="shared" si="9"/>
        <v/>
      </c>
      <c r="F58" s="170"/>
      <c r="G58" s="137"/>
      <c r="H58" s="339" t="str">
        <f t="shared" si="1"/>
        <v/>
      </c>
      <c r="I58" s="393"/>
      <c r="J58" s="169"/>
      <c r="K58" s="328"/>
      <c r="L58" s="330" t="str">
        <f t="shared" si="2"/>
        <v/>
      </c>
      <c r="M58" s="33"/>
      <c r="N58" s="168"/>
      <c r="O58" s="172"/>
      <c r="P58" s="183"/>
      <c r="Q58" s="183"/>
      <c r="R58" s="202"/>
      <c r="S58" s="34"/>
      <c r="T58" s="324"/>
      <c r="U58" s="327" t="str">
        <f t="shared" si="8"/>
        <v/>
      </c>
      <c r="V58" s="325"/>
      <c r="W58" s="320"/>
      <c r="X58" s="334"/>
      <c r="Y58" s="319"/>
      <c r="Z58" s="319"/>
      <c r="AA58" s="319"/>
      <c r="AB58" s="370">
        <v>56</v>
      </c>
      <c r="AC58" s="371">
        <f t="shared" si="15"/>
        <v>0</v>
      </c>
      <c r="AD58" s="371">
        <f t="shared" si="16"/>
        <v>0</v>
      </c>
      <c r="AE58" s="371">
        <f t="shared" si="17"/>
        <v>0</v>
      </c>
      <c r="AF58" s="371">
        <f t="shared" si="18"/>
        <v>0</v>
      </c>
      <c r="AG58" s="125" t="e">
        <f t="shared" si="19"/>
        <v>#N/A</v>
      </c>
      <c r="AH58" s="303" t="s">
        <v>142</v>
      </c>
      <c r="AI58" s="4"/>
      <c r="AJ58" s="4"/>
      <c r="AK58" s="4"/>
    </row>
    <row r="59" spans="1:37" s="9" customFormat="1" ht="15" customHeight="1" x14ac:dyDescent="0.35">
      <c r="A59" s="185">
        <v>57</v>
      </c>
      <c r="B59" s="172"/>
      <c r="C59" s="193"/>
      <c r="D59" s="324"/>
      <c r="E59" s="332" t="str">
        <f t="shared" si="9"/>
        <v/>
      </c>
      <c r="F59" s="170"/>
      <c r="G59" s="137"/>
      <c r="H59" s="339" t="str">
        <f t="shared" si="1"/>
        <v/>
      </c>
      <c r="I59" s="393"/>
      <c r="J59" s="169"/>
      <c r="K59" s="328"/>
      <c r="L59" s="330" t="str">
        <f t="shared" si="2"/>
        <v/>
      </c>
      <c r="M59" s="33"/>
      <c r="N59" s="168"/>
      <c r="O59" s="172"/>
      <c r="P59" s="183"/>
      <c r="Q59" s="183"/>
      <c r="R59" s="202"/>
      <c r="S59" s="34"/>
      <c r="T59" s="324"/>
      <c r="U59" s="327" t="str">
        <f t="shared" si="8"/>
        <v/>
      </c>
      <c r="V59" s="325"/>
      <c r="W59" s="320"/>
      <c r="X59" s="334"/>
      <c r="Y59" s="319"/>
      <c r="Z59" s="319"/>
      <c r="AA59" s="319"/>
      <c r="AB59" s="370">
        <v>57</v>
      </c>
      <c r="AC59" s="371">
        <f t="shared" si="15"/>
        <v>0</v>
      </c>
      <c r="AD59" s="371">
        <f t="shared" si="16"/>
        <v>0</v>
      </c>
      <c r="AE59" s="371">
        <f t="shared" si="17"/>
        <v>0</v>
      </c>
      <c r="AF59" s="371">
        <f t="shared" si="18"/>
        <v>0</v>
      </c>
      <c r="AG59" s="125" t="e">
        <f t="shared" si="19"/>
        <v>#N/A</v>
      </c>
      <c r="AH59" s="303" t="s">
        <v>162</v>
      </c>
      <c r="AI59" s="4"/>
      <c r="AJ59" s="4"/>
      <c r="AK59" s="4"/>
    </row>
    <row r="60" spans="1:37" ht="15" customHeight="1" x14ac:dyDescent="0.35">
      <c r="A60" s="185">
        <v>58</v>
      </c>
      <c r="B60" s="172"/>
      <c r="C60" s="193"/>
      <c r="D60" s="324"/>
      <c r="E60" s="332" t="str">
        <f t="shared" si="9"/>
        <v/>
      </c>
      <c r="F60" s="170"/>
      <c r="G60" s="137"/>
      <c r="H60" s="339" t="str">
        <f t="shared" si="1"/>
        <v/>
      </c>
      <c r="I60" s="393"/>
      <c r="J60" s="169"/>
      <c r="K60" s="328"/>
      <c r="L60" s="330" t="str">
        <f t="shared" si="2"/>
        <v/>
      </c>
      <c r="M60" s="33"/>
      <c r="N60" s="168"/>
      <c r="O60" s="172"/>
      <c r="P60" s="183"/>
      <c r="Q60" s="183"/>
      <c r="R60" s="202"/>
      <c r="S60" s="34"/>
      <c r="T60" s="324"/>
      <c r="U60" s="327" t="str">
        <f t="shared" si="8"/>
        <v/>
      </c>
      <c r="V60" s="325"/>
      <c r="W60" s="320"/>
      <c r="X60" s="334"/>
      <c r="AB60" s="370">
        <v>58</v>
      </c>
      <c r="AC60" s="371">
        <f t="shared" si="15"/>
        <v>0</v>
      </c>
      <c r="AD60" s="371">
        <f t="shared" si="16"/>
        <v>0</v>
      </c>
      <c r="AE60" s="371">
        <f t="shared" si="17"/>
        <v>0</v>
      </c>
      <c r="AF60" s="371">
        <f t="shared" si="18"/>
        <v>0</v>
      </c>
      <c r="AG60" s="125" t="e">
        <f t="shared" si="19"/>
        <v>#N/A</v>
      </c>
      <c r="AH60" s="54" t="s">
        <v>143</v>
      </c>
    </row>
    <row r="61" spans="1:37" ht="15" customHeight="1" x14ac:dyDescent="0.35">
      <c r="A61" s="185">
        <v>59</v>
      </c>
      <c r="B61" s="172"/>
      <c r="C61" s="193"/>
      <c r="D61" s="324"/>
      <c r="E61" s="332" t="str">
        <f t="shared" si="9"/>
        <v/>
      </c>
      <c r="F61" s="170"/>
      <c r="G61" s="137"/>
      <c r="H61" s="339" t="str">
        <f t="shared" si="1"/>
        <v/>
      </c>
      <c r="I61" s="393"/>
      <c r="J61" s="169"/>
      <c r="K61" s="328"/>
      <c r="L61" s="330" t="str">
        <f t="shared" si="2"/>
        <v/>
      </c>
      <c r="M61" s="33"/>
      <c r="N61" s="168"/>
      <c r="O61" s="172"/>
      <c r="P61" s="183"/>
      <c r="Q61" s="183"/>
      <c r="R61" s="202"/>
      <c r="S61" s="34"/>
      <c r="T61" s="324"/>
      <c r="U61" s="327" t="str">
        <f t="shared" si="8"/>
        <v/>
      </c>
      <c r="V61" s="325"/>
      <c r="W61" s="320"/>
      <c r="X61" s="334"/>
      <c r="AB61" s="370">
        <v>59</v>
      </c>
      <c r="AC61" s="371">
        <f t="shared" si="15"/>
        <v>0</v>
      </c>
      <c r="AD61" s="371">
        <f t="shared" si="16"/>
        <v>0</v>
      </c>
      <c r="AE61" s="371">
        <f t="shared" si="17"/>
        <v>0</v>
      </c>
      <c r="AF61" s="371">
        <f t="shared" si="18"/>
        <v>0</v>
      </c>
      <c r="AG61" s="125" t="e">
        <f t="shared" si="19"/>
        <v>#N/A</v>
      </c>
      <c r="AH61" s="52" t="s">
        <v>144</v>
      </c>
    </row>
    <row r="62" spans="1:37" ht="15" customHeight="1" x14ac:dyDescent="0.35">
      <c r="A62" s="185">
        <v>60</v>
      </c>
      <c r="B62" s="172"/>
      <c r="C62" s="193"/>
      <c r="D62" s="324"/>
      <c r="E62" s="332" t="str">
        <f t="shared" si="9"/>
        <v/>
      </c>
      <c r="F62" s="170"/>
      <c r="G62" s="137"/>
      <c r="H62" s="339" t="str">
        <f t="shared" si="1"/>
        <v/>
      </c>
      <c r="I62" s="393"/>
      <c r="J62" s="169"/>
      <c r="K62" s="328"/>
      <c r="L62" s="330" t="str">
        <f t="shared" si="2"/>
        <v/>
      </c>
      <c r="M62" s="33"/>
      <c r="N62" s="168"/>
      <c r="O62" s="172"/>
      <c r="P62" s="183"/>
      <c r="Q62" s="183"/>
      <c r="R62" s="202"/>
      <c r="S62" s="34"/>
      <c r="T62" s="324"/>
      <c r="U62" s="327" t="str">
        <f t="shared" si="8"/>
        <v/>
      </c>
      <c r="V62" s="325"/>
      <c r="W62" s="320"/>
      <c r="X62" s="334"/>
      <c r="AB62" s="370">
        <v>60</v>
      </c>
      <c r="AC62" s="371">
        <f t="shared" si="15"/>
        <v>0</v>
      </c>
      <c r="AD62" s="371">
        <f t="shared" si="16"/>
        <v>0</v>
      </c>
      <c r="AE62" s="371">
        <f t="shared" si="17"/>
        <v>0</v>
      </c>
      <c r="AF62" s="371">
        <f t="shared" si="18"/>
        <v>0</v>
      </c>
      <c r="AG62" s="125" t="e">
        <f t="shared" si="19"/>
        <v>#N/A</v>
      </c>
      <c r="AH62" s="303" t="s">
        <v>145</v>
      </c>
    </row>
    <row r="63" spans="1:37" ht="15" customHeight="1" x14ac:dyDescent="0.35">
      <c r="A63" s="185">
        <v>61</v>
      </c>
      <c r="B63" s="172"/>
      <c r="C63" s="193"/>
      <c r="D63" s="324"/>
      <c r="E63" s="332" t="str">
        <f t="shared" si="9"/>
        <v/>
      </c>
      <c r="F63" s="170"/>
      <c r="G63" s="137"/>
      <c r="H63" s="339" t="str">
        <f t="shared" si="1"/>
        <v/>
      </c>
      <c r="I63" s="393"/>
      <c r="J63" s="169"/>
      <c r="K63" s="328"/>
      <c r="L63" s="330" t="str">
        <f t="shared" si="2"/>
        <v/>
      </c>
      <c r="M63" s="33"/>
      <c r="N63" s="168"/>
      <c r="O63" s="172"/>
      <c r="P63" s="183"/>
      <c r="Q63" s="183"/>
      <c r="R63" s="202"/>
      <c r="S63" s="34"/>
      <c r="T63" s="324"/>
      <c r="U63" s="327" t="str">
        <f t="shared" si="8"/>
        <v/>
      </c>
      <c r="V63" s="325"/>
      <c r="W63" s="320"/>
      <c r="X63" s="334"/>
      <c r="AB63" s="370">
        <v>61</v>
      </c>
      <c r="AC63" s="371">
        <f t="shared" si="15"/>
        <v>0</v>
      </c>
      <c r="AD63" s="371">
        <f t="shared" si="16"/>
        <v>0</v>
      </c>
      <c r="AE63" s="371">
        <f t="shared" si="17"/>
        <v>0</v>
      </c>
      <c r="AF63" s="371">
        <f t="shared" si="18"/>
        <v>0</v>
      </c>
      <c r="AG63" s="125" t="e">
        <f t="shared" si="19"/>
        <v>#N/A</v>
      </c>
      <c r="AH63" s="303" t="s">
        <v>41</v>
      </c>
    </row>
    <row r="64" spans="1:37" ht="15" customHeight="1" thickBot="1" x14ac:dyDescent="0.4">
      <c r="A64" s="185">
        <v>62</v>
      </c>
      <c r="B64" s="172"/>
      <c r="C64" s="193"/>
      <c r="D64" s="324"/>
      <c r="E64" s="332" t="str">
        <f t="shared" si="9"/>
        <v/>
      </c>
      <c r="F64" s="170"/>
      <c r="G64" s="137"/>
      <c r="H64" s="339" t="str">
        <f t="shared" si="1"/>
        <v/>
      </c>
      <c r="I64" s="394"/>
      <c r="J64" s="169"/>
      <c r="K64" s="328"/>
      <c r="L64" s="330" t="str">
        <f t="shared" si="2"/>
        <v/>
      </c>
      <c r="M64" s="33"/>
      <c r="N64" s="168"/>
      <c r="O64" s="172"/>
      <c r="P64" s="183"/>
      <c r="Q64" s="183"/>
      <c r="R64" s="202"/>
      <c r="S64" s="34"/>
      <c r="T64" s="324"/>
      <c r="U64" s="327" t="str">
        <f t="shared" si="8"/>
        <v/>
      </c>
      <c r="V64" s="325"/>
      <c r="W64" s="320"/>
      <c r="X64" s="334"/>
      <c r="AB64" s="370">
        <v>62</v>
      </c>
      <c r="AC64" s="371">
        <f t="shared" si="15"/>
        <v>0</v>
      </c>
      <c r="AD64" s="371">
        <f t="shared" si="16"/>
        <v>0</v>
      </c>
      <c r="AE64" s="371">
        <f t="shared" si="17"/>
        <v>0</v>
      </c>
      <c r="AF64" s="371">
        <f t="shared" si="18"/>
        <v>0</v>
      </c>
      <c r="AG64" s="125" t="e">
        <f t="shared" si="19"/>
        <v>#N/A</v>
      </c>
      <c r="AH64" s="304" t="s">
        <v>146</v>
      </c>
    </row>
    <row r="65" spans="1:33" ht="15" customHeight="1" thickTop="1" x14ac:dyDescent="0.35">
      <c r="A65" s="185">
        <v>63</v>
      </c>
      <c r="B65" s="172"/>
      <c r="C65" s="193"/>
      <c r="D65" s="324"/>
      <c r="E65" s="332" t="str">
        <f t="shared" si="9"/>
        <v/>
      </c>
      <c r="F65" s="170"/>
      <c r="G65" s="137"/>
      <c r="H65" s="339" t="str">
        <f t="shared" si="1"/>
        <v/>
      </c>
      <c r="I65" s="393"/>
      <c r="J65" s="169"/>
      <c r="K65" s="328"/>
      <c r="L65" s="330" t="str">
        <f t="shared" si="2"/>
        <v/>
      </c>
      <c r="M65" s="33"/>
      <c r="N65" s="168"/>
      <c r="O65" s="172"/>
      <c r="P65" s="183"/>
      <c r="Q65" s="183"/>
      <c r="R65" s="202"/>
      <c r="S65" s="34"/>
      <c r="T65" s="324"/>
      <c r="U65" s="327" t="str">
        <f t="shared" si="8"/>
        <v/>
      </c>
      <c r="V65" s="325"/>
      <c r="W65" s="320"/>
      <c r="X65" s="334"/>
      <c r="AB65" s="370">
        <v>63</v>
      </c>
      <c r="AC65" s="371">
        <f t="shared" si="15"/>
        <v>0</v>
      </c>
      <c r="AD65" s="371">
        <f t="shared" si="16"/>
        <v>0</v>
      </c>
      <c r="AE65" s="371">
        <f t="shared" si="17"/>
        <v>0</v>
      </c>
      <c r="AF65" s="371">
        <f t="shared" si="18"/>
        <v>0</v>
      </c>
      <c r="AG65" s="125" t="e">
        <f t="shared" si="19"/>
        <v>#N/A</v>
      </c>
    </row>
    <row r="66" spans="1:33" ht="15" customHeight="1" x14ac:dyDescent="0.35">
      <c r="A66" s="185">
        <v>64</v>
      </c>
      <c r="B66" s="172"/>
      <c r="C66" s="193"/>
      <c r="D66" s="324"/>
      <c r="E66" s="332" t="str">
        <f t="shared" si="9"/>
        <v/>
      </c>
      <c r="F66" s="170"/>
      <c r="G66" s="137"/>
      <c r="H66" s="339" t="str">
        <f t="shared" si="1"/>
        <v/>
      </c>
      <c r="I66" s="393"/>
      <c r="J66" s="169"/>
      <c r="K66" s="328"/>
      <c r="L66" s="330" t="str">
        <f t="shared" si="2"/>
        <v/>
      </c>
      <c r="M66" s="33"/>
      <c r="N66" s="168"/>
      <c r="O66" s="172"/>
      <c r="P66" s="183"/>
      <c r="Q66" s="183"/>
      <c r="R66" s="202"/>
      <c r="S66" s="34"/>
      <c r="T66" s="324"/>
      <c r="U66" s="327" t="str">
        <f t="shared" si="8"/>
        <v/>
      </c>
      <c r="V66" s="325"/>
      <c r="W66" s="320"/>
      <c r="X66" s="334"/>
      <c r="AB66" s="370">
        <v>64</v>
      </c>
      <c r="AC66" s="371">
        <f t="shared" si="15"/>
        <v>0</v>
      </c>
      <c r="AD66" s="371">
        <f t="shared" si="16"/>
        <v>0</v>
      </c>
      <c r="AE66" s="371">
        <f t="shared" si="17"/>
        <v>0</v>
      </c>
      <c r="AF66" s="371">
        <f t="shared" si="18"/>
        <v>0</v>
      </c>
      <c r="AG66" s="125" t="e">
        <f t="shared" si="19"/>
        <v>#N/A</v>
      </c>
    </row>
    <row r="67" spans="1:33" ht="15" customHeight="1" x14ac:dyDescent="0.35">
      <c r="A67" s="185">
        <v>65</v>
      </c>
      <c r="B67" s="172"/>
      <c r="C67" s="193"/>
      <c r="D67" s="324"/>
      <c r="E67" s="332" t="str">
        <f t="shared" si="9"/>
        <v/>
      </c>
      <c r="F67" s="170"/>
      <c r="G67" s="137"/>
      <c r="H67" s="339" t="str">
        <f t="shared" si="1"/>
        <v/>
      </c>
      <c r="I67" s="393"/>
      <c r="J67" s="169"/>
      <c r="K67" s="328"/>
      <c r="L67" s="330" t="str">
        <f t="shared" si="2"/>
        <v/>
      </c>
      <c r="M67" s="33"/>
      <c r="N67" s="168"/>
      <c r="O67" s="172"/>
      <c r="P67" s="183"/>
      <c r="Q67" s="183"/>
      <c r="R67" s="202"/>
      <c r="S67" s="34"/>
      <c r="T67" s="324"/>
      <c r="U67" s="327" t="str">
        <f t="shared" si="8"/>
        <v/>
      </c>
      <c r="V67" s="325"/>
      <c r="W67" s="320"/>
      <c r="X67" s="334"/>
      <c r="AB67" s="370">
        <v>65</v>
      </c>
      <c r="AC67" s="371">
        <f t="shared" si="15"/>
        <v>0</v>
      </c>
      <c r="AD67" s="371">
        <f t="shared" si="16"/>
        <v>0</v>
      </c>
      <c r="AE67" s="371">
        <f t="shared" si="17"/>
        <v>0</v>
      </c>
      <c r="AF67" s="371">
        <f t="shared" si="18"/>
        <v>0</v>
      </c>
      <c r="AG67" s="125" t="e">
        <f t="shared" si="19"/>
        <v>#N/A</v>
      </c>
    </row>
    <row r="68" spans="1:33" ht="15" customHeight="1" x14ac:dyDescent="0.35">
      <c r="A68" s="185">
        <v>66</v>
      </c>
      <c r="B68" s="172"/>
      <c r="C68" s="193"/>
      <c r="D68" s="324"/>
      <c r="E68" s="332" t="str">
        <f t="shared" si="9"/>
        <v/>
      </c>
      <c r="F68" s="170"/>
      <c r="G68" s="137"/>
      <c r="H68" s="339" t="str">
        <f t="shared" ref="H68:H321" si="20">IF(AND(F68="Male",G68="Male"),"Male",IF(AND(F68="Female",G68="Female"),"Female",IF(AND(F68="Female",G68="Male"),"Transgender Male",IF(AND(F68="Male",G68="Female"),"Transgender Female",IF(G68="Sometimes M, Sometimes F","Gender Fluid",IF(G68="Other than M or F","Agender",""))))))</f>
        <v/>
      </c>
      <c r="I68" s="393"/>
      <c r="J68" s="169"/>
      <c r="K68" s="328"/>
      <c r="L68" s="330" t="str">
        <f t="shared" ref="L68:L321" si="21">IF(AND(J68&lt;&gt;"",K68=""),J68,IF(AND(J68="White or Caucasian",K68&lt;&gt;"White or Caucasian"),"Blended Race",IF(AND(J68="Black or African-American",K68&lt;&gt;"Black or African-American"),"Blended Race",IF(AND(J68="American Indian or Alaska Native",K68&lt;&gt;"American Indian or Alaska Native"),"Blended Race",IF(AND(J68="Asian",K68&lt;&gt;"Asian"),"Blended Race",IF(AND(J68="Pacific Islander",K68&lt;&gt;"Pacific Islander"),"Blended Race",IF(J68="Other","Other","")))))))</f>
        <v/>
      </c>
      <c r="M68" s="33"/>
      <c r="N68" s="168"/>
      <c r="O68" s="172"/>
      <c r="P68" s="183"/>
      <c r="Q68" s="183"/>
      <c r="R68" s="202"/>
      <c r="S68" s="34"/>
      <c r="T68" s="324"/>
      <c r="U68" s="327" t="str">
        <f t="shared" si="8"/>
        <v/>
      </c>
      <c r="V68" s="325"/>
      <c r="W68" s="320"/>
      <c r="X68" s="334"/>
      <c r="AB68" s="370">
        <v>66</v>
      </c>
      <c r="AC68" s="371">
        <f t="shared" si="15"/>
        <v>0</v>
      </c>
      <c r="AD68" s="371">
        <f t="shared" si="16"/>
        <v>0</v>
      </c>
      <c r="AE68" s="371">
        <f t="shared" si="17"/>
        <v>0</v>
      </c>
      <c r="AF68" s="371">
        <f t="shared" si="18"/>
        <v>0</v>
      </c>
      <c r="AG68" s="125" t="e">
        <f t="shared" si="19"/>
        <v>#N/A</v>
      </c>
    </row>
    <row r="69" spans="1:33" ht="15" customHeight="1" x14ac:dyDescent="0.35">
      <c r="A69" s="185">
        <v>67</v>
      </c>
      <c r="B69" s="172"/>
      <c r="C69" s="193"/>
      <c r="D69" s="324"/>
      <c r="E69" s="332" t="str">
        <f t="shared" si="9"/>
        <v/>
      </c>
      <c r="F69" s="170"/>
      <c r="G69" s="137"/>
      <c r="H69" s="339" t="str">
        <f t="shared" si="20"/>
        <v/>
      </c>
      <c r="I69" s="393"/>
      <c r="J69" s="169"/>
      <c r="K69" s="328"/>
      <c r="L69" s="330" t="str">
        <f t="shared" si="21"/>
        <v/>
      </c>
      <c r="M69" s="33"/>
      <c r="N69" s="168"/>
      <c r="O69" s="172"/>
      <c r="P69" s="183"/>
      <c r="Q69" s="183"/>
      <c r="R69" s="202"/>
      <c r="S69" s="34"/>
      <c r="T69" s="324"/>
      <c r="U69" s="327" t="str">
        <f t="shared" ref="U69:U322" si="22">IF(OR(R69="",T69=""),"",DATEDIF(R69,T69,"d"))</f>
        <v/>
      </c>
      <c r="V69" s="325"/>
      <c r="W69" s="320"/>
      <c r="X69" s="334"/>
      <c r="AB69" s="370">
        <v>67</v>
      </c>
      <c r="AC69" s="371">
        <f t="shared" si="15"/>
        <v>0</v>
      </c>
      <c r="AD69" s="371">
        <f t="shared" si="16"/>
        <v>0</v>
      </c>
      <c r="AE69" s="371">
        <f t="shared" si="17"/>
        <v>0</v>
      </c>
      <c r="AF69" s="371">
        <f t="shared" si="18"/>
        <v>0</v>
      </c>
      <c r="AG69" s="125" t="e">
        <f t="shared" si="19"/>
        <v>#N/A</v>
      </c>
    </row>
    <row r="70" spans="1:33" ht="15" customHeight="1" x14ac:dyDescent="0.35">
      <c r="A70" s="185">
        <v>68</v>
      </c>
      <c r="B70" s="172"/>
      <c r="C70" s="193"/>
      <c r="D70" s="324"/>
      <c r="E70" s="332" t="str">
        <f t="shared" si="9"/>
        <v/>
      </c>
      <c r="F70" s="170"/>
      <c r="G70" s="137"/>
      <c r="H70" s="339" t="str">
        <f t="shared" si="20"/>
        <v/>
      </c>
      <c r="I70" s="393"/>
      <c r="J70" s="169"/>
      <c r="K70" s="328"/>
      <c r="L70" s="330" t="str">
        <f t="shared" si="21"/>
        <v/>
      </c>
      <c r="M70" s="33"/>
      <c r="N70" s="168"/>
      <c r="O70" s="172"/>
      <c r="P70" s="183"/>
      <c r="Q70" s="183"/>
      <c r="R70" s="202"/>
      <c r="S70" s="34"/>
      <c r="T70" s="324"/>
      <c r="U70" s="327" t="str">
        <f t="shared" si="22"/>
        <v/>
      </c>
      <c r="V70" s="325"/>
      <c r="W70" s="320"/>
      <c r="X70" s="334"/>
      <c r="AB70" s="370">
        <v>68</v>
      </c>
      <c r="AC70" s="371">
        <f t="shared" si="15"/>
        <v>0</v>
      </c>
      <c r="AD70" s="371">
        <f t="shared" si="16"/>
        <v>0</v>
      </c>
      <c r="AE70" s="371">
        <f t="shared" si="17"/>
        <v>0</v>
      </c>
      <c r="AF70" s="371">
        <f t="shared" si="18"/>
        <v>0</v>
      </c>
      <c r="AG70" s="125" t="e">
        <f t="shared" si="19"/>
        <v>#N/A</v>
      </c>
    </row>
    <row r="71" spans="1:33" ht="15" customHeight="1" x14ac:dyDescent="0.35">
      <c r="A71" s="185">
        <v>69</v>
      </c>
      <c r="B71" s="172"/>
      <c r="C71" s="193"/>
      <c r="D71" s="324"/>
      <c r="E71" s="332" t="str">
        <f t="shared" si="9"/>
        <v/>
      </c>
      <c r="F71" s="170"/>
      <c r="G71" s="137"/>
      <c r="H71" s="339" t="str">
        <f t="shared" si="20"/>
        <v/>
      </c>
      <c r="I71" s="393"/>
      <c r="J71" s="169"/>
      <c r="K71" s="328"/>
      <c r="L71" s="330" t="str">
        <f t="shared" si="21"/>
        <v/>
      </c>
      <c r="M71" s="33"/>
      <c r="N71" s="168"/>
      <c r="O71" s="172"/>
      <c r="P71" s="183"/>
      <c r="Q71" s="183"/>
      <c r="R71" s="202"/>
      <c r="S71" s="34"/>
      <c r="T71" s="324"/>
      <c r="U71" s="327" t="str">
        <f t="shared" si="22"/>
        <v/>
      </c>
      <c r="V71" s="325"/>
      <c r="W71" s="320"/>
      <c r="X71" s="334"/>
      <c r="AB71" s="370">
        <v>69</v>
      </c>
      <c r="AC71" s="371">
        <f t="shared" si="15"/>
        <v>0</v>
      </c>
      <c r="AD71" s="371">
        <f t="shared" si="16"/>
        <v>0</v>
      </c>
      <c r="AE71" s="371">
        <f t="shared" si="17"/>
        <v>0</v>
      </c>
      <c r="AF71" s="371">
        <f t="shared" si="18"/>
        <v>0</v>
      </c>
      <c r="AG71" s="125" t="e">
        <f t="shared" si="19"/>
        <v>#N/A</v>
      </c>
    </row>
    <row r="72" spans="1:33" ht="15" customHeight="1" x14ac:dyDescent="0.35">
      <c r="A72" s="185">
        <v>70</v>
      </c>
      <c r="B72" s="172"/>
      <c r="C72" s="193"/>
      <c r="D72" s="324"/>
      <c r="E72" s="332" t="str">
        <f t="shared" si="9"/>
        <v/>
      </c>
      <c r="F72" s="170"/>
      <c r="G72" s="137"/>
      <c r="H72" s="339" t="str">
        <f t="shared" si="20"/>
        <v/>
      </c>
      <c r="I72" s="393"/>
      <c r="J72" s="169"/>
      <c r="K72" s="328"/>
      <c r="L72" s="330" t="str">
        <f t="shared" si="21"/>
        <v/>
      </c>
      <c r="M72" s="33"/>
      <c r="N72" s="168"/>
      <c r="O72" s="172"/>
      <c r="P72" s="183"/>
      <c r="Q72" s="183"/>
      <c r="R72" s="202"/>
      <c r="S72" s="34"/>
      <c r="T72" s="324"/>
      <c r="U72" s="327" t="str">
        <f t="shared" si="22"/>
        <v/>
      </c>
      <c r="V72" s="325"/>
      <c r="W72" s="320"/>
      <c r="X72" s="334"/>
      <c r="AB72" s="370">
        <v>70</v>
      </c>
      <c r="AC72" s="371">
        <f t="shared" si="15"/>
        <v>0</v>
      </c>
      <c r="AD72" s="371">
        <f t="shared" si="16"/>
        <v>0</v>
      </c>
      <c r="AE72" s="371">
        <f t="shared" si="17"/>
        <v>0</v>
      </c>
      <c r="AF72" s="371">
        <f t="shared" si="18"/>
        <v>0</v>
      </c>
      <c r="AG72" s="125" t="e">
        <f t="shared" si="19"/>
        <v>#N/A</v>
      </c>
    </row>
    <row r="73" spans="1:33" ht="15" customHeight="1" x14ac:dyDescent="0.35">
      <c r="A73" s="185">
        <v>71</v>
      </c>
      <c r="B73" s="172"/>
      <c r="C73" s="193"/>
      <c r="D73" s="324"/>
      <c r="E73" s="332" t="str">
        <f t="shared" si="9"/>
        <v/>
      </c>
      <c r="F73" s="170"/>
      <c r="G73" s="137"/>
      <c r="H73" s="339" t="str">
        <f t="shared" si="20"/>
        <v/>
      </c>
      <c r="I73" s="393"/>
      <c r="J73" s="169"/>
      <c r="K73" s="328"/>
      <c r="L73" s="330" t="str">
        <f t="shared" si="21"/>
        <v/>
      </c>
      <c r="M73" s="33"/>
      <c r="N73" s="168"/>
      <c r="O73" s="172"/>
      <c r="P73" s="183"/>
      <c r="Q73" s="183"/>
      <c r="R73" s="202"/>
      <c r="S73" s="34"/>
      <c r="T73" s="324"/>
      <c r="U73" s="327" t="str">
        <f t="shared" si="22"/>
        <v/>
      </c>
      <c r="V73" s="325"/>
      <c r="W73" s="320"/>
      <c r="X73" s="334"/>
      <c r="AB73" s="370">
        <v>71</v>
      </c>
      <c r="AC73" s="371">
        <f t="shared" si="15"/>
        <v>0</v>
      </c>
      <c r="AD73" s="371">
        <f t="shared" si="16"/>
        <v>0</v>
      </c>
      <c r="AE73" s="371">
        <f t="shared" si="17"/>
        <v>0</v>
      </c>
      <c r="AF73" s="371">
        <f t="shared" si="18"/>
        <v>0</v>
      </c>
      <c r="AG73" s="125" t="e">
        <f t="shared" si="19"/>
        <v>#N/A</v>
      </c>
    </row>
    <row r="74" spans="1:33" ht="15" customHeight="1" x14ac:dyDescent="0.35">
      <c r="A74" s="185">
        <v>72</v>
      </c>
      <c r="B74" s="172"/>
      <c r="C74" s="193"/>
      <c r="D74" s="324"/>
      <c r="E74" s="332" t="str">
        <f t="shared" si="9"/>
        <v/>
      </c>
      <c r="F74" s="170"/>
      <c r="G74" s="137"/>
      <c r="H74" s="339" t="str">
        <f t="shared" si="20"/>
        <v/>
      </c>
      <c r="I74" s="394"/>
      <c r="J74" s="169"/>
      <c r="K74" s="328"/>
      <c r="L74" s="330" t="str">
        <f t="shared" si="21"/>
        <v/>
      </c>
      <c r="M74" s="33"/>
      <c r="N74" s="168"/>
      <c r="O74" s="172"/>
      <c r="P74" s="183"/>
      <c r="Q74" s="183"/>
      <c r="R74" s="202"/>
      <c r="S74" s="34"/>
      <c r="T74" s="324"/>
      <c r="U74" s="327" t="str">
        <f t="shared" si="22"/>
        <v/>
      </c>
      <c r="V74" s="325"/>
      <c r="W74" s="320"/>
      <c r="X74" s="334"/>
      <c r="AB74" s="370">
        <v>72</v>
      </c>
      <c r="AC74" s="371">
        <f t="shared" si="15"/>
        <v>0</v>
      </c>
      <c r="AD74" s="371">
        <f t="shared" si="16"/>
        <v>0</v>
      </c>
      <c r="AE74" s="371">
        <f t="shared" si="17"/>
        <v>0</v>
      </c>
      <c r="AF74" s="371">
        <f t="shared" si="18"/>
        <v>0</v>
      </c>
      <c r="AG74" s="125" t="e">
        <f t="shared" si="19"/>
        <v>#N/A</v>
      </c>
    </row>
    <row r="75" spans="1:33" ht="15" customHeight="1" x14ac:dyDescent="0.35">
      <c r="A75" s="185">
        <v>73</v>
      </c>
      <c r="B75" s="172"/>
      <c r="C75" s="193"/>
      <c r="D75" s="324"/>
      <c r="E75" s="332" t="str">
        <f t="shared" si="9"/>
        <v/>
      </c>
      <c r="F75" s="170"/>
      <c r="G75" s="137"/>
      <c r="H75" s="339" t="str">
        <f t="shared" si="20"/>
        <v/>
      </c>
      <c r="I75" s="393"/>
      <c r="J75" s="169"/>
      <c r="K75" s="328"/>
      <c r="L75" s="330" t="str">
        <f t="shared" si="21"/>
        <v/>
      </c>
      <c r="M75" s="33"/>
      <c r="N75" s="168"/>
      <c r="O75" s="172"/>
      <c r="P75" s="183"/>
      <c r="Q75" s="183"/>
      <c r="R75" s="202"/>
      <c r="S75" s="34"/>
      <c r="T75" s="324"/>
      <c r="U75" s="327" t="str">
        <f t="shared" si="22"/>
        <v/>
      </c>
      <c r="V75" s="325"/>
      <c r="W75" s="320"/>
      <c r="X75" s="334"/>
      <c r="AB75" s="370">
        <v>73</v>
      </c>
      <c r="AC75" s="371">
        <f t="shared" si="15"/>
        <v>0</v>
      </c>
      <c r="AD75" s="371">
        <f t="shared" si="16"/>
        <v>0</v>
      </c>
      <c r="AE75" s="371">
        <f t="shared" si="17"/>
        <v>0</v>
      </c>
      <c r="AF75" s="371">
        <f t="shared" si="18"/>
        <v>0</v>
      </c>
      <c r="AG75" s="125" t="e">
        <f t="shared" si="19"/>
        <v>#N/A</v>
      </c>
    </row>
    <row r="76" spans="1:33" ht="15" customHeight="1" x14ac:dyDescent="0.35">
      <c r="A76" s="185">
        <v>74</v>
      </c>
      <c r="B76" s="172"/>
      <c r="C76" s="193"/>
      <c r="D76" s="324"/>
      <c r="E76" s="332" t="str">
        <f t="shared" si="9"/>
        <v/>
      </c>
      <c r="F76" s="170"/>
      <c r="G76" s="137"/>
      <c r="H76" s="339" t="str">
        <f t="shared" si="20"/>
        <v/>
      </c>
      <c r="I76" s="393"/>
      <c r="J76" s="169"/>
      <c r="K76" s="328"/>
      <c r="L76" s="330" t="str">
        <f t="shared" si="21"/>
        <v/>
      </c>
      <c r="M76" s="33"/>
      <c r="N76" s="168"/>
      <c r="O76" s="172"/>
      <c r="P76" s="183"/>
      <c r="Q76" s="183"/>
      <c r="R76" s="202"/>
      <c r="S76" s="34"/>
      <c r="T76" s="324"/>
      <c r="U76" s="327" t="str">
        <f t="shared" si="22"/>
        <v/>
      </c>
      <c r="V76" s="325"/>
      <c r="W76" s="320"/>
      <c r="X76" s="334"/>
      <c r="AB76" s="370">
        <v>74</v>
      </c>
      <c r="AC76" s="371">
        <f t="shared" si="15"/>
        <v>0</v>
      </c>
      <c r="AD76" s="371">
        <f t="shared" si="16"/>
        <v>0</v>
      </c>
      <c r="AE76" s="371">
        <f t="shared" si="17"/>
        <v>0</v>
      </c>
      <c r="AF76" s="371">
        <f t="shared" si="18"/>
        <v>0</v>
      </c>
      <c r="AG76" s="125" t="e">
        <f t="shared" si="19"/>
        <v>#N/A</v>
      </c>
    </row>
    <row r="77" spans="1:33" ht="15" customHeight="1" x14ac:dyDescent="0.35">
      <c r="A77" s="185">
        <v>75</v>
      </c>
      <c r="B77" s="172"/>
      <c r="C77" s="193"/>
      <c r="D77" s="324"/>
      <c r="E77" s="332" t="str">
        <f t="shared" si="9"/>
        <v/>
      </c>
      <c r="F77" s="170"/>
      <c r="G77" s="137"/>
      <c r="H77" s="339" t="str">
        <f t="shared" si="20"/>
        <v/>
      </c>
      <c r="I77" s="393"/>
      <c r="J77" s="169"/>
      <c r="K77" s="328"/>
      <c r="L77" s="330" t="str">
        <f t="shared" si="21"/>
        <v/>
      </c>
      <c r="M77" s="33"/>
      <c r="N77" s="168"/>
      <c r="O77" s="172"/>
      <c r="P77" s="183"/>
      <c r="Q77" s="183"/>
      <c r="R77" s="202"/>
      <c r="S77" s="34"/>
      <c r="T77" s="324"/>
      <c r="U77" s="327" t="str">
        <f t="shared" si="22"/>
        <v/>
      </c>
      <c r="V77" s="325"/>
      <c r="W77" s="320"/>
      <c r="X77" s="334"/>
      <c r="AB77" s="370">
        <v>75</v>
      </c>
      <c r="AC77" s="371">
        <f t="shared" si="15"/>
        <v>0</v>
      </c>
      <c r="AD77" s="371">
        <f t="shared" si="16"/>
        <v>0</v>
      </c>
      <c r="AE77" s="371">
        <f t="shared" si="17"/>
        <v>0</v>
      </c>
      <c r="AF77" s="371">
        <f t="shared" si="18"/>
        <v>0</v>
      </c>
      <c r="AG77" s="125" t="e">
        <f t="shared" si="19"/>
        <v>#N/A</v>
      </c>
    </row>
    <row r="78" spans="1:33" ht="15" customHeight="1" x14ac:dyDescent="0.35">
      <c r="A78" s="185">
        <v>76</v>
      </c>
      <c r="B78" s="172"/>
      <c r="C78" s="193"/>
      <c r="D78" s="324"/>
      <c r="E78" s="332" t="str">
        <f t="shared" si="9"/>
        <v/>
      </c>
      <c r="F78" s="170"/>
      <c r="G78" s="137"/>
      <c r="H78" s="339" t="str">
        <f t="shared" si="20"/>
        <v/>
      </c>
      <c r="I78" s="393"/>
      <c r="J78" s="169"/>
      <c r="K78" s="328"/>
      <c r="L78" s="330" t="str">
        <f t="shared" si="21"/>
        <v/>
      </c>
      <c r="M78" s="33"/>
      <c r="N78" s="168"/>
      <c r="O78" s="172"/>
      <c r="P78" s="183"/>
      <c r="Q78" s="183"/>
      <c r="R78" s="202"/>
      <c r="S78" s="34"/>
      <c r="T78" s="324"/>
      <c r="U78" s="327" t="str">
        <f t="shared" si="22"/>
        <v/>
      </c>
      <c r="V78" s="325"/>
      <c r="W78" s="320"/>
      <c r="X78" s="334"/>
      <c r="AB78" s="370">
        <v>76</v>
      </c>
      <c r="AC78" s="371">
        <f t="shared" si="15"/>
        <v>0</v>
      </c>
      <c r="AD78" s="371">
        <f t="shared" si="16"/>
        <v>0</v>
      </c>
      <c r="AE78" s="371">
        <f t="shared" si="17"/>
        <v>0</v>
      </c>
      <c r="AF78" s="371">
        <f t="shared" si="18"/>
        <v>0</v>
      </c>
      <c r="AG78" s="125" t="e">
        <f t="shared" si="19"/>
        <v>#N/A</v>
      </c>
    </row>
    <row r="79" spans="1:33" ht="15" customHeight="1" x14ac:dyDescent="0.35">
      <c r="A79" s="185">
        <v>77</v>
      </c>
      <c r="B79" s="172"/>
      <c r="C79" s="193"/>
      <c r="D79" s="324"/>
      <c r="E79" s="332" t="str">
        <f t="shared" si="9"/>
        <v/>
      </c>
      <c r="F79" s="170"/>
      <c r="G79" s="137"/>
      <c r="H79" s="339" t="str">
        <f t="shared" si="20"/>
        <v/>
      </c>
      <c r="I79" s="393"/>
      <c r="J79" s="169"/>
      <c r="K79" s="328"/>
      <c r="L79" s="330" t="str">
        <f t="shared" si="21"/>
        <v/>
      </c>
      <c r="M79" s="33"/>
      <c r="N79" s="168"/>
      <c r="O79" s="172"/>
      <c r="P79" s="183"/>
      <c r="Q79" s="183"/>
      <c r="R79" s="202"/>
      <c r="S79" s="34"/>
      <c r="T79" s="324"/>
      <c r="U79" s="327" t="str">
        <f t="shared" si="22"/>
        <v/>
      </c>
      <c r="V79" s="325"/>
      <c r="W79" s="320"/>
      <c r="X79" s="334"/>
      <c r="AB79" s="370">
        <v>77</v>
      </c>
      <c r="AC79" s="371">
        <f t="shared" si="15"/>
        <v>0</v>
      </c>
      <c r="AD79" s="371">
        <f t="shared" si="16"/>
        <v>0</v>
      </c>
      <c r="AE79" s="371">
        <f t="shared" si="17"/>
        <v>0</v>
      </c>
      <c r="AF79" s="371">
        <f t="shared" si="18"/>
        <v>0</v>
      </c>
      <c r="AG79" s="125" t="e">
        <f t="shared" si="19"/>
        <v>#N/A</v>
      </c>
    </row>
    <row r="80" spans="1:33" ht="15" customHeight="1" x14ac:dyDescent="0.35">
      <c r="A80" s="185">
        <v>78</v>
      </c>
      <c r="B80" s="172"/>
      <c r="C80" s="193"/>
      <c r="D80" s="324"/>
      <c r="E80" s="332" t="str">
        <f t="shared" si="9"/>
        <v/>
      </c>
      <c r="F80" s="170"/>
      <c r="G80" s="137"/>
      <c r="H80" s="339" t="str">
        <f t="shared" si="20"/>
        <v/>
      </c>
      <c r="I80" s="393"/>
      <c r="J80" s="169"/>
      <c r="K80" s="328"/>
      <c r="L80" s="330" t="str">
        <f t="shared" si="21"/>
        <v/>
      </c>
      <c r="M80" s="33"/>
      <c r="N80" s="168"/>
      <c r="O80" s="172"/>
      <c r="P80" s="183"/>
      <c r="Q80" s="183"/>
      <c r="R80" s="202"/>
      <c r="S80" s="34"/>
      <c r="T80" s="324"/>
      <c r="U80" s="327" t="str">
        <f t="shared" si="22"/>
        <v/>
      </c>
      <c r="V80" s="325"/>
      <c r="W80" s="320"/>
      <c r="X80" s="334"/>
      <c r="AB80" s="370">
        <v>78</v>
      </c>
      <c r="AC80" s="371">
        <f t="shared" si="15"/>
        <v>0</v>
      </c>
      <c r="AD80" s="371">
        <f t="shared" si="16"/>
        <v>0</v>
      </c>
      <c r="AE80" s="371">
        <f t="shared" si="17"/>
        <v>0</v>
      </c>
      <c r="AF80" s="371">
        <f t="shared" si="18"/>
        <v>0</v>
      </c>
      <c r="AG80" s="125" t="e">
        <f t="shared" si="19"/>
        <v>#N/A</v>
      </c>
    </row>
    <row r="81" spans="1:33" ht="15" customHeight="1" x14ac:dyDescent="0.35">
      <c r="A81" s="185">
        <v>79</v>
      </c>
      <c r="B81" s="172"/>
      <c r="C81" s="193"/>
      <c r="D81" s="324"/>
      <c r="E81" s="332" t="str">
        <f t="shared" si="9"/>
        <v/>
      </c>
      <c r="F81" s="170"/>
      <c r="G81" s="137"/>
      <c r="H81" s="339" t="str">
        <f t="shared" si="20"/>
        <v/>
      </c>
      <c r="I81" s="394"/>
      <c r="J81" s="169"/>
      <c r="K81" s="328"/>
      <c r="L81" s="330" t="str">
        <f t="shared" si="21"/>
        <v/>
      </c>
      <c r="M81" s="33"/>
      <c r="N81" s="168"/>
      <c r="O81" s="172"/>
      <c r="P81" s="183"/>
      <c r="Q81" s="183"/>
      <c r="R81" s="202"/>
      <c r="S81" s="34"/>
      <c r="T81" s="324"/>
      <c r="U81" s="327" t="str">
        <f t="shared" si="22"/>
        <v/>
      </c>
      <c r="V81" s="325"/>
      <c r="W81" s="320"/>
      <c r="X81" s="334"/>
      <c r="AB81" s="370">
        <v>79</v>
      </c>
      <c r="AC81" s="371">
        <f t="shared" si="15"/>
        <v>0</v>
      </c>
      <c r="AD81" s="371">
        <f t="shared" si="16"/>
        <v>0</v>
      </c>
      <c r="AE81" s="371">
        <f t="shared" si="17"/>
        <v>0</v>
      </c>
      <c r="AF81" s="371">
        <f t="shared" si="18"/>
        <v>0</v>
      </c>
      <c r="AG81" s="125" t="e">
        <f t="shared" si="19"/>
        <v>#N/A</v>
      </c>
    </row>
    <row r="82" spans="1:33" ht="15" customHeight="1" x14ac:dyDescent="0.35">
      <c r="A82" s="185">
        <v>80</v>
      </c>
      <c r="B82" s="172"/>
      <c r="C82" s="193"/>
      <c r="D82" s="324"/>
      <c r="E82" s="332" t="str">
        <f t="shared" si="9"/>
        <v/>
      </c>
      <c r="F82" s="170"/>
      <c r="G82" s="137"/>
      <c r="H82" s="339" t="str">
        <f t="shared" si="20"/>
        <v/>
      </c>
      <c r="I82" s="393"/>
      <c r="J82" s="169"/>
      <c r="K82" s="328"/>
      <c r="L82" s="330" t="str">
        <f t="shared" si="21"/>
        <v/>
      </c>
      <c r="M82" s="33"/>
      <c r="N82" s="168"/>
      <c r="O82" s="172"/>
      <c r="P82" s="183"/>
      <c r="Q82" s="183"/>
      <c r="R82" s="202"/>
      <c r="S82" s="34"/>
      <c r="T82" s="324"/>
      <c r="U82" s="327" t="str">
        <f t="shared" si="22"/>
        <v/>
      </c>
      <c r="V82" s="325"/>
      <c r="W82" s="320"/>
      <c r="X82" s="334"/>
      <c r="AB82" s="370">
        <v>80</v>
      </c>
      <c r="AC82" s="371">
        <f t="shared" si="15"/>
        <v>0</v>
      </c>
      <c r="AD82" s="371">
        <f t="shared" si="16"/>
        <v>0</v>
      </c>
      <c r="AE82" s="371">
        <f t="shared" si="17"/>
        <v>0</v>
      </c>
      <c r="AF82" s="371">
        <f t="shared" si="18"/>
        <v>0</v>
      </c>
      <c r="AG82" s="125" t="e">
        <f t="shared" si="19"/>
        <v>#N/A</v>
      </c>
    </row>
    <row r="83" spans="1:33" ht="15" customHeight="1" x14ac:dyDescent="0.35">
      <c r="A83" s="185">
        <v>81</v>
      </c>
      <c r="B83" s="172"/>
      <c r="C83" s="193"/>
      <c r="D83" s="324"/>
      <c r="E83" s="332" t="str">
        <f t="shared" si="9"/>
        <v/>
      </c>
      <c r="F83" s="170"/>
      <c r="G83" s="137"/>
      <c r="H83" s="339" t="str">
        <f t="shared" si="20"/>
        <v/>
      </c>
      <c r="I83" s="393"/>
      <c r="J83" s="169"/>
      <c r="K83" s="328"/>
      <c r="L83" s="330" t="str">
        <f t="shared" si="21"/>
        <v/>
      </c>
      <c r="M83" s="33"/>
      <c r="N83" s="168"/>
      <c r="O83" s="172"/>
      <c r="P83" s="183"/>
      <c r="Q83" s="183"/>
      <c r="R83" s="202"/>
      <c r="S83" s="34"/>
      <c r="T83" s="324"/>
      <c r="U83" s="327" t="str">
        <f t="shared" si="22"/>
        <v/>
      </c>
      <c r="V83" s="325"/>
      <c r="W83" s="320"/>
      <c r="X83" s="334"/>
      <c r="AB83" s="370">
        <v>81</v>
      </c>
      <c r="AC83" s="371">
        <f t="shared" si="15"/>
        <v>0</v>
      </c>
      <c r="AD83" s="371">
        <f t="shared" si="16"/>
        <v>0</v>
      </c>
      <c r="AE83" s="371">
        <f t="shared" si="17"/>
        <v>0</v>
      </c>
      <c r="AF83" s="371">
        <f t="shared" si="18"/>
        <v>0</v>
      </c>
      <c r="AG83" s="125" t="e">
        <f t="shared" si="19"/>
        <v>#N/A</v>
      </c>
    </row>
    <row r="84" spans="1:33" ht="15" customHeight="1" x14ac:dyDescent="0.35">
      <c r="A84" s="185">
        <v>82</v>
      </c>
      <c r="B84" s="172"/>
      <c r="C84" s="193"/>
      <c r="D84" s="324"/>
      <c r="E84" s="332" t="str">
        <f t="shared" si="9"/>
        <v/>
      </c>
      <c r="F84" s="170"/>
      <c r="G84" s="137"/>
      <c r="H84" s="339" t="str">
        <f t="shared" si="20"/>
        <v/>
      </c>
      <c r="I84" s="393"/>
      <c r="J84" s="169"/>
      <c r="K84" s="328"/>
      <c r="L84" s="330" t="str">
        <f t="shared" si="21"/>
        <v/>
      </c>
      <c r="M84" s="33"/>
      <c r="N84" s="168"/>
      <c r="O84" s="172"/>
      <c r="P84" s="183"/>
      <c r="Q84" s="183"/>
      <c r="R84" s="202"/>
      <c r="S84" s="34"/>
      <c r="T84" s="324"/>
      <c r="U84" s="327" t="str">
        <f t="shared" si="22"/>
        <v/>
      </c>
      <c r="V84" s="325"/>
      <c r="W84" s="320"/>
      <c r="X84" s="334"/>
      <c r="AB84" s="370">
        <v>82</v>
      </c>
      <c r="AC84" s="371">
        <f t="shared" si="15"/>
        <v>0</v>
      </c>
      <c r="AD84" s="371">
        <f t="shared" si="16"/>
        <v>0</v>
      </c>
      <c r="AE84" s="371">
        <f t="shared" si="17"/>
        <v>0</v>
      </c>
      <c r="AF84" s="371">
        <f t="shared" si="18"/>
        <v>0</v>
      </c>
      <c r="AG84" s="125" t="e">
        <f t="shared" si="19"/>
        <v>#N/A</v>
      </c>
    </row>
    <row r="85" spans="1:33" ht="15" customHeight="1" x14ac:dyDescent="0.35">
      <c r="A85" s="185">
        <v>83</v>
      </c>
      <c r="B85" s="172"/>
      <c r="C85" s="193"/>
      <c r="D85" s="324"/>
      <c r="E85" s="332" t="str">
        <f t="shared" si="9"/>
        <v/>
      </c>
      <c r="F85" s="170"/>
      <c r="G85" s="137"/>
      <c r="H85" s="339" t="str">
        <f t="shared" si="20"/>
        <v/>
      </c>
      <c r="I85" s="393"/>
      <c r="J85" s="169"/>
      <c r="K85" s="328"/>
      <c r="L85" s="330" t="str">
        <f t="shared" si="21"/>
        <v/>
      </c>
      <c r="M85" s="33"/>
      <c r="N85" s="168"/>
      <c r="O85" s="172"/>
      <c r="P85" s="183"/>
      <c r="Q85" s="183"/>
      <c r="R85" s="202"/>
      <c r="S85" s="34"/>
      <c r="T85" s="324"/>
      <c r="U85" s="327" t="str">
        <f t="shared" si="22"/>
        <v/>
      </c>
      <c r="V85" s="325"/>
      <c r="W85" s="320"/>
      <c r="X85" s="334"/>
      <c r="AB85" s="370">
        <v>83</v>
      </c>
      <c r="AC85" s="371">
        <f t="shared" si="15"/>
        <v>0</v>
      </c>
      <c r="AD85" s="371">
        <f t="shared" si="16"/>
        <v>0</v>
      </c>
      <c r="AE85" s="371">
        <f t="shared" si="17"/>
        <v>0</v>
      </c>
      <c r="AF85" s="371">
        <f t="shared" si="18"/>
        <v>0</v>
      </c>
      <c r="AG85" s="125" t="e">
        <f t="shared" si="19"/>
        <v>#N/A</v>
      </c>
    </row>
    <row r="86" spans="1:33" ht="15" customHeight="1" x14ac:dyDescent="0.35">
      <c r="A86" s="185">
        <v>84</v>
      </c>
      <c r="B86" s="172"/>
      <c r="C86" s="193"/>
      <c r="D86" s="324"/>
      <c r="E86" s="332" t="str">
        <f t="shared" si="9"/>
        <v/>
      </c>
      <c r="F86" s="170"/>
      <c r="G86" s="137"/>
      <c r="H86" s="339" t="str">
        <f t="shared" si="20"/>
        <v/>
      </c>
      <c r="I86" s="393"/>
      <c r="J86" s="169"/>
      <c r="K86" s="328"/>
      <c r="L86" s="330" t="str">
        <f t="shared" si="21"/>
        <v/>
      </c>
      <c r="M86" s="33"/>
      <c r="N86" s="168"/>
      <c r="O86" s="172"/>
      <c r="P86" s="183"/>
      <c r="Q86" s="183"/>
      <c r="R86" s="202"/>
      <c r="S86" s="34"/>
      <c r="T86" s="324"/>
      <c r="U86" s="327" t="str">
        <f t="shared" si="22"/>
        <v/>
      </c>
      <c r="V86" s="325"/>
      <c r="W86" s="320"/>
      <c r="X86" s="334"/>
      <c r="AB86" s="370">
        <v>84</v>
      </c>
      <c r="AC86" s="371">
        <f t="shared" si="15"/>
        <v>0</v>
      </c>
      <c r="AD86" s="371">
        <f t="shared" si="16"/>
        <v>0</v>
      </c>
      <c r="AE86" s="371">
        <f t="shared" si="17"/>
        <v>0</v>
      </c>
      <c r="AF86" s="371">
        <f t="shared" si="18"/>
        <v>0</v>
      </c>
      <c r="AG86" s="125" t="e">
        <f t="shared" si="19"/>
        <v>#N/A</v>
      </c>
    </row>
    <row r="87" spans="1:33" ht="15" customHeight="1" x14ac:dyDescent="0.35">
      <c r="A87" s="185">
        <v>85</v>
      </c>
      <c r="B87" s="172"/>
      <c r="C87" s="193"/>
      <c r="D87" s="324"/>
      <c r="E87" s="332" t="str">
        <f t="shared" si="9"/>
        <v/>
      </c>
      <c r="F87" s="170"/>
      <c r="G87" s="137"/>
      <c r="H87" s="339" t="str">
        <f t="shared" si="20"/>
        <v/>
      </c>
      <c r="I87" s="393"/>
      <c r="J87" s="169"/>
      <c r="K87" s="328"/>
      <c r="L87" s="330" t="str">
        <f t="shared" si="21"/>
        <v/>
      </c>
      <c r="M87" s="33"/>
      <c r="N87" s="168"/>
      <c r="O87" s="172"/>
      <c r="P87" s="183"/>
      <c r="Q87" s="183"/>
      <c r="R87" s="202"/>
      <c r="S87" s="34"/>
      <c r="T87" s="324"/>
      <c r="U87" s="327" t="str">
        <f t="shared" si="22"/>
        <v/>
      </c>
      <c r="V87" s="325"/>
      <c r="W87" s="320"/>
      <c r="X87" s="334"/>
      <c r="AB87" s="370">
        <v>85</v>
      </c>
      <c r="AC87" s="371">
        <f t="shared" si="15"/>
        <v>0</v>
      </c>
      <c r="AD87" s="371">
        <f t="shared" si="16"/>
        <v>0</v>
      </c>
      <c r="AE87" s="371">
        <f t="shared" si="17"/>
        <v>0</v>
      </c>
      <c r="AF87" s="371">
        <f t="shared" si="18"/>
        <v>0</v>
      </c>
      <c r="AG87" s="125" t="e">
        <f t="shared" si="19"/>
        <v>#N/A</v>
      </c>
    </row>
    <row r="88" spans="1:33" ht="15" customHeight="1" x14ac:dyDescent="0.35">
      <c r="A88" s="185">
        <v>86</v>
      </c>
      <c r="B88" s="172"/>
      <c r="C88" s="193"/>
      <c r="D88" s="324"/>
      <c r="E88" s="332" t="str">
        <f t="shared" si="9"/>
        <v/>
      </c>
      <c r="F88" s="170"/>
      <c r="G88" s="137"/>
      <c r="H88" s="339" t="str">
        <f t="shared" si="20"/>
        <v/>
      </c>
      <c r="I88" s="394"/>
      <c r="J88" s="169"/>
      <c r="K88" s="328"/>
      <c r="L88" s="330" t="str">
        <f t="shared" si="21"/>
        <v/>
      </c>
      <c r="M88" s="33"/>
      <c r="N88" s="168"/>
      <c r="O88" s="172"/>
      <c r="P88" s="183"/>
      <c r="Q88" s="183"/>
      <c r="R88" s="202"/>
      <c r="S88" s="34"/>
      <c r="T88" s="324"/>
      <c r="U88" s="327" t="str">
        <f t="shared" si="22"/>
        <v/>
      </c>
      <c r="V88" s="325"/>
      <c r="W88" s="320"/>
      <c r="X88" s="334"/>
      <c r="AB88" s="370">
        <v>86</v>
      </c>
      <c r="AC88" s="371">
        <f t="shared" si="15"/>
        <v>0</v>
      </c>
      <c r="AD88" s="371">
        <f t="shared" si="16"/>
        <v>0</v>
      </c>
      <c r="AE88" s="371">
        <f t="shared" si="17"/>
        <v>0</v>
      </c>
      <c r="AF88" s="371">
        <f t="shared" si="18"/>
        <v>0</v>
      </c>
      <c r="AG88" s="125" t="e">
        <f t="shared" si="19"/>
        <v>#N/A</v>
      </c>
    </row>
    <row r="89" spans="1:33" ht="15" customHeight="1" x14ac:dyDescent="0.35">
      <c r="A89" s="185">
        <v>87</v>
      </c>
      <c r="B89" s="172"/>
      <c r="C89" s="193"/>
      <c r="D89" s="324"/>
      <c r="E89" s="332" t="str">
        <f t="shared" si="9"/>
        <v/>
      </c>
      <c r="F89" s="170"/>
      <c r="G89" s="137"/>
      <c r="H89" s="339" t="str">
        <f t="shared" si="20"/>
        <v/>
      </c>
      <c r="I89" s="393"/>
      <c r="J89" s="169"/>
      <c r="K89" s="328"/>
      <c r="L89" s="330" t="str">
        <f t="shared" si="21"/>
        <v/>
      </c>
      <c r="M89" s="33"/>
      <c r="N89" s="168"/>
      <c r="O89" s="172"/>
      <c r="P89" s="183"/>
      <c r="Q89" s="183"/>
      <c r="R89" s="202"/>
      <c r="S89" s="34"/>
      <c r="T89" s="324"/>
      <c r="U89" s="327" t="str">
        <f t="shared" si="22"/>
        <v/>
      </c>
      <c r="V89" s="325"/>
      <c r="W89" s="320"/>
      <c r="X89" s="334"/>
      <c r="AB89" s="370">
        <v>87</v>
      </c>
      <c r="AC89" s="371">
        <f t="shared" si="15"/>
        <v>0</v>
      </c>
      <c r="AD89" s="371">
        <f t="shared" si="16"/>
        <v>0</v>
      </c>
      <c r="AE89" s="371">
        <f t="shared" si="17"/>
        <v>0</v>
      </c>
      <c r="AF89" s="371">
        <f t="shared" si="18"/>
        <v>0</v>
      </c>
      <c r="AG89" s="125" t="e">
        <f t="shared" si="19"/>
        <v>#N/A</v>
      </c>
    </row>
    <row r="90" spans="1:33" ht="15" customHeight="1" x14ac:dyDescent="0.35">
      <c r="A90" s="185">
        <v>88</v>
      </c>
      <c r="B90" s="172"/>
      <c r="C90" s="193"/>
      <c r="D90" s="324"/>
      <c r="E90" s="332" t="str">
        <f t="shared" si="9"/>
        <v/>
      </c>
      <c r="F90" s="170"/>
      <c r="G90" s="137"/>
      <c r="H90" s="339" t="str">
        <f t="shared" si="20"/>
        <v/>
      </c>
      <c r="I90" s="393"/>
      <c r="J90" s="169"/>
      <c r="K90" s="328"/>
      <c r="L90" s="330" t="str">
        <f t="shared" si="21"/>
        <v/>
      </c>
      <c r="M90" s="33"/>
      <c r="N90" s="168"/>
      <c r="O90" s="172"/>
      <c r="P90" s="183"/>
      <c r="Q90" s="183"/>
      <c r="R90" s="202"/>
      <c r="S90" s="34"/>
      <c r="T90" s="324"/>
      <c r="U90" s="327" t="str">
        <f t="shared" si="22"/>
        <v/>
      </c>
      <c r="V90" s="325"/>
      <c r="W90" s="320"/>
      <c r="X90" s="334"/>
      <c r="AB90" s="370">
        <v>88</v>
      </c>
      <c r="AC90" s="371">
        <f t="shared" si="15"/>
        <v>0</v>
      </c>
      <c r="AD90" s="371">
        <f t="shared" si="16"/>
        <v>0</v>
      </c>
      <c r="AE90" s="371">
        <f t="shared" si="17"/>
        <v>0</v>
      </c>
      <c r="AF90" s="371">
        <f t="shared" si="18"/>
        <v>0</v>
      </c>
      <c r="AG90" s="125" t="e">
        <f t="shared" si="19"/>
        <v>#N/A</v>
      </c>
    </row>
    <row r="91" spans="1:33" ht="15" customHeight="1" x14ac:dyDescent="0.35">
      <c r="A91" s="185">
        <v>89</v>
      </c>
      <c r="B91" s="172"/>
      <c r="C91" s="193"/>
      <c r="D91" s="324"/>
      <c r="E91" s="332" t="str">
        <f t="shared" si="9"/>
        <v/>
      </c>
      <c r="F91" s="170"/>
      <c r="G91" s="137"/>
      <c r="H91" s="339" t="str">
        <f t="shared" si="20"/>
        <v/>
      </c>
      <c r="I91" s="393"/>
      <c r="J91" s="169"/>
      <c r="K91" s="328"/>
      <c r="L91" s="330" t="str">
        <f t="shared" si="21"/>
        <v/>
      </c>
      <c r="M91" s="33"/>
      <c r="N91" s="168"/>
      <c r="O91" s="172"/>
      <c r="P91" s="183"/>
      <c r="Q91" s="183"/>
      <c r="R91" s="202"/>
      <c r="S91" s="34"/>
      <c r="T91" s="324"/>
      <c r="U91" s="327" t="str">
        <f t="shared" si="22"/>
        <v/>
      </c>
      <c r="V91" s="325"/>
      <c r="W91" s="320"/>
      <c r="X91" s="334"/>
      <c r="AB91" s="370">
        <v>89</v>
      </c>
      <c r="AC91" s="371">
        <f t="shared" si="15"/>
        <v>0</v>
      </c>
      <c r="AD91" s="371">
        <f t="shared" si="16"/>
        <v>0</v>
      </c>
      <c r="AE91" s="371">
        <f t="shared" si="17"/>
        <v>0</v>
      </c>
      <c r="AF91" s="371">
        <f t="shared" si="18"/>
        <v>0</v>
      </c>
      <c r="AG91" s="125" t="e">
        <f t="shared" si="19"/>
        <v>#N/A</v>
      </c>
    </row>
    <row r="92" spans="1:33" ht="15" customHeight="1" x14ac:dyDescent="0.35">
      <c r="A92" s="185">
        <v>90</v>
      </c>
      <c r="B92" s="172"/>
      <c r="C92" s="193"/>
      <c r="D92" s="324"/>
      <c r="E92" s="332" t="str">
        <f t="shared" si="9"/>
        <v/>
      </c>
      <c r="F92" s="170"/>
      <c r="G92" s="137"/>
      <c r="H92" s="339" t="str">
        <f t="shared" si="20"/>
        <v/>
      </c>
      <c r="I92" s="393"/>
      <c r="J92" s="169"/>
      <c r="K92" s="328"/>
      <c r="L92" s="330" t="str">
        <f t="shared" si="21"/>
        <v/>
      </c>
      <c r="M92" s="33"/>
      <c r="N92" s="168"/>
      <c r="O92" s="172"/>
      <c r="P92" s="183"/>
      <c r="Q92" s="183"/>
      <c r="R92" s="202"/>
      <c r="S92" s="34"/>
      <c r="T92" s="324"/>
      <c r="U92" s="327" t="str">
        <f t="shared" si="22"/>
        <v/>
      </c>
      <c r="V92" s="325"/>
      <c r="W92" s="320"/>
      <c r="X92" s="334"/>
      <c r="AB92" s="370">
        <v>90</v>
      </c>
      <c r="AC92" s="371">
        <f t="shared" si="15"/>
        <v>0</v>
      </c>
      <c r="AD92" s="371">
        <f t="shared" si="16"/>
        <v>0</v>
      </c>
      <c r="AE92" s="371">
        <f t="shared" si="17"/>
        <v>0</v>
      </c>
      <c r="AF92" s="371">
        <f t="shared" si="18"/>
        <v>0</v>
      </c>
      <c r="AG92" s="125" t="e">
        <f t="shared" si="19"/>
        <v>#N/A</v>
      </c>
    </row>
    <row r="93" spans="1:33" ht="15" customHeight="1" x14ac:dyDescent="0.35">
      <c r="A93" s="185">
        <v>91</v>
      </c>
      <c r="B93" s="172"/>
      <c r="C93" s="193"/>
      <c r="D93" s="324"/>
      <c r="E93" s="332" t="str">
        <f t="shared" si="9"/>
        <v/>
      </c>
      <c r="F93" s="170"/>
      <c r="G93" s="137"/>
      <c r="H93" s="339" t="str">
        <f t="shared" si="20"/>
        <v/>
      </c>
      <c r="I93" s="393"/>
      <c r="J93" s="169"/>
      <c r="K93" s="328"/>
      <c r="L93" s="330" t="str">
        <f t="shared" si="21"/>
        <v/>
      </c>
      <c r="M93" s="33"/>
      <c r="N93" s="168"/>
      <c r="O93" s="172"/>
      <c r="P93" s="183"/>
      <c r="Q93" s="183"/>
      <c r="R93" s="202"/>
      <c r="S93" s="34"/>
      <c r="T93" s="324"/>
      <c r="U93" s="327" t="str">
        <f t="shared" si="22"/>
        <v/>
      </c>
      <c r="V93" s="325"/>
      <c r="W93" s="320"/>
      <c r="X93" s="334"/>
      <c r="AB93" s="370">
        <v>91</v>
      </c>
      <c r="AC93" s="371">
        <f t="shared" si="15"/>
        <v>0</v>
      </c>
      <c r="AD93" s="371">
        <f t="shared" si="16"/>
        <v>0</v>
      </c>
      <c r="AE93" s="371">
        <f t="shared" si="17"/>
        <v>0</v>
      </c>
      <c r="AF93" s="371">
        <f t="shared" si="18"/>
        <v>0</v>
      </c>
      <c r="AG93" s="125" t="e">
        <f t="shared" si="19"/>
        <v>#N/A</v>
      </c>
    </row>
    <row r="94" spans="1:33" ht="15" customHeight="1" x14ac:dyDescent="0.35">
      <c r="A94" s="185">
        <v>92</v>
      </c>
      <c r="B94" s="172"/>
      <c r="C94" s="193"/>
      <c r="D94" s="324"/>
      <c r="E94" s="332" t="str">
        <f t="shared" si="9"/>
        <v/>
      </c>
      <c r="F94" s="170"/>
      <c r="G94" s="137"/>
      <c r="H94" s="339" t="str">
        <f t="shared" si="20"/>
        <v/>
      </c>
      <c r="I94" s="393"/>
      <c r="J94" s="169"/>
      <c r="K94" s="328"/>
      <c r="L94" s="330" t="str">
        <f t="shared" si="21"/>
        <v/>
      </c>
      <c r="M94" s="33"/>
      <c r="N94" s="168"/>
      <c r="O94" s="172"/>
      <c r="P94" s="183"/>
      <c r="Q94" s="183"/>
      <c r="R94" s="202"/>
      <c r="S94" s="34"/>
      <c r="T94" s="324"/>
      <c r="U94" s="327" t="str">
        <f t="shared" si="22"/>
        <v/>
      </c>
      <c r="V94" s="325"/>
      <c r="W94" s="320"/>
      <c r="X94" s="334"/>
      <c r="AB94" s="370">
        <v>92</v>
      </c>
      <c r="AC94" s="371">
        <f t="shared" si="15"/>
        <v>0</v>
      </c>
      <c r="AD94" s="371">
        <f t="shared" si="16"/>
        <v>0</v>
      </c>
      <c r="AE94" s="371">
        <f t="shared" si="17"/>
        <v>0</v>
      </c>
      <c r="AF94" s="371">
        <f t="shared" si="18"/>
        <v>0</v>
      </c>
      <c r="AG94" s="125" t="e">
        <f t="shared" si="19"/>
        <v>#N/A</v>
      </c>
    </row>
    <row r="95" spans="1:33" ht="15" customHeight="1" x14ac:dyDescent="0.35">
      <c r="A95" s="185">
        <v>93</v>
      </c>
      <c r="B95" s="172"/>
      <c r="C95" s="193"/>
      <c r="D95" s="324"/>
      <c r="E95" s="332" t="str">
        <f t="shared" si="9"/>
        <v/>
      </c>
      <c r="F95" s="170"/>
      <c r="G95" s="137"/>
      <c r="H95" s="339" t="str">
        <f t="shared" si="20"/>
        <v/>
      </c>
      <c r="I95" s="394"/>
      <c r="J95" s="169"/>
      <c r="K95" s="328"/>
      <c r="L95" s="330" t="str">
        <f t="shared" si="21"/>
        <v/>
      </c>
      <c r="M95" s="33"/>
      <c r="N95" s="168"/>
      <c r="O95" s="172"/>
      <c r="P95" s="183"/>
      <c r="Q95" s="183"/>
      <c r="R95" s="202"/>
      <c r="S95" s="34"/>
      <c r="T95" s="324"/>
      <c r="U95" s="327" t="str">
        <f t="shared" si="22"/>
        <v/>
      </c>
      <c r="V95" s="325"/>
      <c r="W95" s="320"/>
      <c r="X95" s="334"/>
      <c r="AB95" s="370">
        <v>93</v>
      </c>
      <c r="AC95" s="371">
        <f t="shared" si="15"/>
        <v>0</v>
      </c>
      <c r="AD95" s="371">
        <f t="shared" si="16"/>
        <v>0</v>
      </c>
      <c r="AE95" s="371">
        <f t="shared" si="17"/>
        <v>0</v>
      </c>
      <c r="AF95" s="371">
        <f t="shared" si="18"/>
        <v>0</v>
      </c>
      <c r="AG95" s="125" t="e">
        <f t="shared" si="19"/>
        <v>#N/A</v>
      </c>
    </row>
    <row r="96" spans="1:33" ht="15" customHeight="1" x14ac:dyDescent="0.35">
      <c r="A96" s="185">
        <v>94</v>
      </c>
      <c r="B96" s="172"/>
      <c r="C96" s="193"/>
      <c r="D96" s="324"/>
      <c r="E96" s="332" t="str">
        <f t="shared" si="9"/>
        <v/>
      </c>
      <c r="F96" s="170"/>
      <c r="G96" s="137"/>
      <c r="H96" s="339" t="str">
        <f t="shared" si="20"/>
        <v/>
      </c>
      <c r="I96" s="393"/>
      <c r="J96" s="169"/>
      <c r="K96" s="328"/>
      <c r="L96" s="330" t="str">
        <f t="shared" si="21"/>
        <v/>
      </c>
      <c r="M96" s="33"/>
      <c r="N96" s="168"/>
      <c r="O96" s="172"/>
      <c r="P96" s="183"/>
      <c r="Q96" s="183"/>
      <c r="R96" s="202"/>
      <c r="S96" s="34"/>
      <c r="T96" s="324"/>
      <c r="U96" s="327" t="str">
        <f t="shared" si="22"/>
        <v/>
      </c>
      <c r="V96" s="325"/>
      <c r="W96" s="320"/>
      <c r="X96" s="334"/>
      <c r="AB96" s="370">
        <v>94</v>
      </c>
      <c r="AC96" s="371">
        <f t="shared" si="15"/>
        <v>0</v>
      </c>
      <c r="AD96" s="371">
        <f t="shared" si="16"/>
        <v>0</v>
      </c>
      <c r="AE96" s="371">
        <f t="shared" si="17"/>
        <v>0</v>
      </c>
      <c r="AF96" s="371">
        <f t="shared" si="18"/>
        <v>0</v>
      </c>
      <c r="AG96" s="125" t="e">
        <f t="shared" si="19"/>
        <v>#N/A</v>
      </c>
    </row>
    <row r="97" spans="1:33" ht="15" customHeight="1" x14ac:dyDescent="0.35">
      <c r="A97" s="185">
        <v>95</v>
      </c>
      <c r="B97" s="172"/>
      <c r="C97" s="193"/>
      <c r="D97" s="324"/>
      <c r="E97" s="332" t="str">
        <f t="shared" si="9"/>
        <v/>
      </c>
      <c r="F97" s="170"/>
      <c r="G97" s="137"/>
      <c r="H97" s="339" t="str">
        <f t="shared" si="20"/>
        <v/>
      </c>
      <c r="I97" s="393"/>
      <c r="J97" s="169"/>
      <c r="K97" s="328"/>
      <c r="L97" s="330" t="str">
        <f t="shared" si="21"/>
        <v/>
      </c>
      <c r="M97" s="33"/>
      <c r="N97" s="168"/>
      <c r="O97" s="172"/>
      <c r="P97" s="183"/>
      <c r="Q97" s="183"/>
      <c r="R97" s="202"/>
      <c r="S97" s="34"/>
      <c r="T97" s="324"/>
      <c r="U97" s="327" t="str">
        <f t="shared" si="22"/>
        <v/>
      </c>
      <c r="V97" s="325"/>
      <c r="W97" s="320"/>
      <c r="X97" s="334"/>
      <c r="AB97" s="370">
        <v>95</v>
      </c>
      <c r="AC97" s="371">
        <f t="shared" si="15"/>
        <v>0</v>
      </c>
      <c r="AD97" s="371">
        <f t="shared" si="16"/>
        <v>0</v>
      </c>
      <c r="AE97" s="371">
        <f t="shared" si="17"/>
        <v>0</v>
      </c>
      <c r="AF97" s="371">
        <f t="shared" si="18"/>
        <v>0</v>
      </c>
      <c r="AG97" s="125" t="e">
        <f t="shared" si="19"/>
        <v>#N/A</v>
      </c>
    </row>
    <row r="98" spans="1:33" ht="15" customHeight="1" x14ac:dyDescent="0.35">
      <c r="A98" s="185">
        <v>96</v>
      </c>
      <c r="B98" s="172"/>
      <c r="C98" s="193"/>
      <c r="D98" s="324"/>
      <c r="E98" s="332" t="str">
        <f t="shared" si="9"/>
        <v/>
      </c>
      <c r="F98" s="170"/>
      <c r="G98" s="137"/>
      <c r="H98" s="339" t="str">
        <f t="shared" si="20"/>
        <v/>
      </c>
      <c r="I98" s="393"/>
      <c r="J98" s="169"/>
      <c r="K98" s="328"/>
      <c r="L98" s="330" t="str">
        <f t="shared" si="21"/>
        <v/>
      </c>
      <c r="M98" s="33"/>
      <c r="N98" s="168"/>
      <c r="O98" s="172"/>
      <c r="P98" s="183"/>
      <c r="Q98" s="183"/>
      <c r="R98" s="202"/>
      <c r="S98" s="34"/>
      <c r="T98" s="324"/>
      <c r="U98" s="327" t="str">
        <f t="shared" si="22"/>
        <v/>
      </c>
      <c r="V98" s="325"/>
      <c r="W98" s="320"/>
      <c r="X98" s="334"/>
      <c r="AB98" s="370">
        <v>96</v>
      </c>
      <c r="AC98" s="371">
        <f t="shared" si="15"/>
        <v>0</v>
      </c>
      <c r="AD98" s="371">
        <f t="shared" si="16"/>
        <v>0</v>
      </c>
      <c r="AE98" s="371">
        <f t="shared" si="17"/>
        <v>0</v>
      </c>
      <c r="AF98" s="371">
        <f t="shared" si="18"/>
        <v>0</v>
      </c>
      <c r="AG98" s="125" t="e">
        <f t="shared" si="19"/>
        <v>#N/A</v>
      </c>
    </row>
    <row r="99" spans="1:33" ht="15" customHeight="1" x14ac:dyDescent="0.35">
      <c r="A99" s="185">
        <v>97</v>
      </c>
      <c r="B99" s="172"/>
      <c r="C99" s="193"/>
      <c r="D99" s="324"/>
      <c r="E99" s="332" t="str">
        <f t="shared" si="9"/>
        <v/>
      </c>
      <c r="F99" s="170"/>
      <c r="G99" s="137"/>
      <c r="H99" s="339" t="str">
        <f t="shared" si="20"/>
        <v/>
      </c>
      <c r="I99" s="393"/>
      <c r="J99" s="169"/>
      <c r="K99" s="328"/>
      <c r="L99" s="330" t="str">
        <f t="shared" si="21"/>
        <v/>
      </c>
      <c r="M99" s="33"/>
      <c r="N99" s="168"/>
      <c r="O99" s="172"/>
      <c r="P99" s="183"/>
      <c r="Q99" s="183"/>
      <c r="R99" s="202"/>
      <c r="S99" s="34"/>
      <c r="T99" s="324"/>
      <c r="U99" s="327" t="str">
        <f t="shared" si="22"/>
        <v/>
      </c>
      <c r="V99" s="325"/>
      <c r="W99" s="320"/>
      <c r="X99" s="334"/>
      <c r="AB99" s="370">
        <v>97</v>
      </c>
      <c r="AC99" s="371">
        <f t="shared" si="15"/>
        <v>0</v>
      </c>
      <c r="AD99" s="371">
        <f t="shared" si="16"/>
        <v>0</v>
      </c>
      <c r="AE99" s="371">
        <f t="shared" si="17"/>
        <v>0</v>
      </c>
      <c r="AF99" s="371">
        <f t="shared" si="18"/>
        <v>0</v>
      </c>
      <c r="AG99" s="125" t="e">
        <f t="shared" si="19"/>
        <v>#N/A</v>
      </c>
    </row>
    <row r="100" spans="1:33" ht="15" customHeight="1" x14ac:dyDescent="0.35">
      <c r="A100" s="185">
        <v>98</v>
      </c>
      <c r="B100" s="194"/>
      <c r="C100" s="193"/>
      <c r="D100" s="324"/>
      <c r="E100" s="332" t="str">
        <f t="shared" si="9"/>
        <v/>
      </c>
      <c r="F100" s="170"/>
      <c r="G100" s="137"/>
      <c r="H100" s="339" t="str">
        <f t="shared" si="20"/>
        <v/>
      </c>
      <c r="I100" s="393"/>
      <c r="J100" s="169"/>
      <c r="K100" s="328"/>
      <c r="L100" s="330" t="str">
        <f t="shared" si="21"/>
        <v/>
      </c>
      <c r="M100" s="33"/>
      <c r="N100" s="168"/>
      <c r="O100" s="172"/>
      <c r="P100" s="183"/>
      <c r="Q100" s="183"/>
      <c r="R100" s="202"/>
      <c r="S100" s="34"/>
      <c r="T100" s="324"/>
      <c r="U100" s="327" t="str">
        <f t="shared" si="22"/>
        <v/>
      </c>
      <c r="V100" s="325"/>
      <c r="W100" s="320"/>
      <c r="X100" s="334"/>
      <c r="AB100" s="370">
        <v>98</v>
      </c>
      <c r="AC100" s="371">
        <f t="shared" si="15"/>
        <v>0</v>
      </c>
      <c r="AD100" s="371">
        <f t="shared" si="16"/>
        <v>0</v>
      </c>
      <c r="AE100" s="371">
        <f t="shared" si="17"/>
        <v>0</v>
      </c>
      <c r="AF100" s="371">
        <f t="shared" si="18"/>
        <v>0</v>
      </c>
      <c r="AG100" s="125" t="e">
        <f t="shared" si="19"/>
        <v>#N/A</v>
      </c>
    </row>
    <row r="101" spans="1:33" ht="15" customHeight="1" x14ac:dyDescent="0.35">
      <c r="A101" s="185">
        <v>99</v>
      </c>
      <c r="B101" s="172"/>
      <c r="C101" s="193"/>
      <c r="D101" s="324"/>
      <c r="E101" s="332" t="str">
        <f t="shared" si="9"/>
        <v/>
      </c>
      <c r="F101" s="170"/>
      <c r="G101" s="137"/>
      <c r="H101" s="339" t="str">
        <f t="shared" si="20"/>
        <v/>
      </c>
      <c r="I101" s="393"/>
      <c r="J101" s="169"/>
      <c r="K101" s="328"/>
      <c r="L101" s="330" t="str">
        <f t="shared" si="21"/>
        <v/>
      </c>
      <c r="M101" s="33"/>
      <c r="N101" s="168"/>
      <c r="O101" s="172"/>
      <c r="P101" s="183"/>
      <c r="Q101" s="183"/>
      <c r="R101" s="202"/>
      <c r="S101" s="34"/>
      <c r="T101" s="324"/>
      <c r="U101" s="327" t="str">
        <f t="shared" si="22"/>
        <v/>
      </c>
      <c r="V101" s="325"/>
      <c r="W101" s="320"/>
      <c r="X101" s="334"/>
      <c r="AB101" s="370">
        <v>99</v>
      </c>
      <c r="AC101" s="371">
        <f t="shared" si="15"/>
        <v>0</v>
      </c>
      <c r="AD101" s="371">
        <f t="shared" si="16"/>
        <v>0</v>
      </c>
      <c r="AE101" s="371">
        <f t="shared" si="17"/>
        <v>0</v>
      </c>
      <c r="AF101" s="371">
        <f t="shared" si="18"/>
        <v>0</v>
      </c>
      <c r="AG101" s="125" t="e">
        <f t="shared" si="19"/>
        <v>#N/A</v>
      </c>
    </row>
    <row r="102" spans="1:33" ht="15" customHeight="1" x14ac:dyDescent="0.35">
      <c r="A102" s="185">
        <v>100</v>
      </c>
      <c r="B102" s="172"/>
      <c r="C102" s="193"/>
      <c r="D102" s="324"/>
      <c r="E102" s="332" t="str">
        <f t="shared" si="9"/>
        <v/>
      </c>
      <c r="F102" s="170"/>
      <c r="G102" s="137"/>
      <c r="H102" s="339" t="str">
        <f t="shared" si="20"/>
        <v/>
      </c>
      <c r="I102" s="393"/>
      <c r="J102" s="169"/>
      <c r="K102" s="328"/>
      <c r="L102" s="330" t="str">
        <f t="shared" si="21"/>
        <v/>
      </c>
      <c r="M102" s="33"/>
      <c r="N102" s="168"/>
      <c r="O102" s="172"/>
      <c r="P102" s="183"/>
      <c r="Q102" s="183"/>
      <c r="R102" s="202"/>
      <c r="S102" s="34"/>
      <c r="T102" s="324"/>
      <c r="U102" s="327" t="str">
        <f t="shared" si="22"/>
        <v/>
      </c>
      <c r="V102" s="325"/>
      <c r="W102" s="320"/>
      <c r="X102" s="334"/>
      <c r="AB102" s="370">
        <v>100</v>
      </c>
      <c r="AC102" s="371">
        <f t="shared" ref="AC102:AC165" si="23">IF(AND(E102&gt;0,E102&lt;25),1,0)</f>
        <v>0</v>
      </c>
      <c r="AD102" s="371">
        <f t="shared" ref="AD102:AD165" si="24">IF(AND(E102&gt;24,E102&lt;35),1,0)</f>
        <v>0</v>
      </c>
      <c r="AE102" s="371">
        <f t="shared" ref="AE102:AE165" si="25">IF(AND(E102&gt;34,E102&lt;60),1,0)</f>
        <v>0</v>
      </c>
      <c r="AF102" s="371">
        <f t="shared" ref="AF102:AF165" si="26">IF(AND(E102&gt;59,E102&lt;151),1,0)</f>
        <v>0</v>
      </c>
      <c r="AG102" s="125" t="e">
        <f t="shared" ref="AG102:AG165" si="27">_xlfn.IFS(AC102=1,1,AD102=1,2,AE102=1,3,AF102=1,4)</f>
        <v>#N/A</v>
      </c>
    </row>
    <row r="103" spans="1:33" ht="15" customHeight="1" x14ac:dyDescent="0.35">
      <c r="A103" s="185">
        <v>101</v>
      </c>
      <c r="B103" s="172"/>
      <c r="C103" s="193"/>
      <c r="D103" s="324"/>
      <c r="E103" s="332" t="str">
        <f t="shared" si="9"/>
        <v/>
      </c>
      <c r="F103" s="170"/>
      <c r="G103" s="137"/>
      <c r="H103" s="339" t="str">
        <f t="shared" si="20"/>
        <v/>
      </c>
      <c r="I103" s="393"/>
      <c r="J103" s="169"/>
      <c r="K103" s="328"/>
      <c r="L103" s="330" t="str">
        <f t="shared" si="21"/>
        <v/>
      </c>
      <c r="M103" s="33"/>
      <c r="N103" s="168"/>
      <c r="O103" s="172"/>
      <c r="P103" s="183"/>
      <c r="Q103" s="183"/>
      <c r="R103" s="202"/>
      <c r="S103" s="34"/>
      <c r="T103" s="324"/>
      <c r="U103" s="327" t="str">
        <f t="shared" si="22"/>
        <v/>
      </c>
      <c r="V103" s="325"/>
      <c r="W103" s="320"/>
      <c r="X103" s="334"/>
      <c r="AB103" s="370">
        <v>101</v>
      </c>
      <c r="AC103" s="371">
        <f t="shared" si="23"/>
        <v>0</v>
      </c>
      <c r="AD103" s="371">
        <f t="shared" si="24"/>
        <v>0</v>
      </c>
      <c r="AE103" s="371">
        <f t="shared" si="25"/>
        <v>0</v>
      </c>
      <c r="AF103" s="371">
        <f t="shared" si="26"/>
        <v>0</v>
      </c>
      <c r="AG103" s="125" t="e">
        <f t="shared" si="27"/>
        <v>#N/A</v>
      </c>
    </row>
    <row r="104" spans="1:33" ht="15" customHeight="1" x14ac:dyDescent="0.35">
      <c r="A104" s="185">
        <v>102</v>
      </c>
      <c r="B104" s="172"/>
      <c r="C104" s="193"/>
      <c r="D104" s="324"/>
      <c r="E104" s="332" t="str">
        <f t="shared" si="9"/>
        <v/>
      </c>
      <c r="F104" s="170"/>
      <c r="G104" s="137"/>
      <c r="H104" s="339" t="str">
        <f t="shared" si="20"/>
        <v/>
      </c>
      <c r="I104" s="393"/>
      <c r="J104" s="169"/>
      <c r="K104" s="328"/>
      <c r="L104" s="330" t="str">
        <f t="shared" si="21"/>
        <v/>
      </c>
      <c r="M104" s="33"/>
      <c r="N104" s="168"/>
      <c r="O104" s="172"/>
      <c r="P104" s="183"/>
      <c r="Q104" s="183"/>
      <c r="R104" s="202"/>
      <c r="S104" s="34"/>
      <c r="T104" s="324"/>
      <c r="U104" s="327" t="str">
        <f t="shared" si="22"/>
        <v/>
      </c>
      <c r="V104" s="325"/>
      <c r="W104" s="320"/>
      <c r="X104" s="334"/>
      <c r="AB104" s="370">
        <v>102</v>
      </c>
      <c r="AC104" s="371">
        <f t="shared" si="23"/>
        <v>0</v>
      </c>
      <c r="AD104" s="371">
        <f t="shared" si="24"/>
        <v>0</v>
      </c>
      <c r="AE104" s="371">
        <f t="shared" si="25"/>
        <v>0</v>
      </c>
      <c r="AF104" s="371">
        <f t="shared" si="26"/>
        <v>0</v>
      </c>
      <c r="AG104" s="125" t="e">
        <f t="shared" si="27"/>
        <v>#N/A</v>
      </c>
    </row>
    <row r="105" spans="1:33" ht="15" customHeight="1" x14ac:dyDescent="0.35">
      <c r="A105" s="185">
        <v>103</v>
      </c>
      <c r="B105" s="172"/>
      <c r="C105" s="193"/>
      <c r="D105" s="324"/>
      <c r="E105" s="332" t="str">
        <f t="shared" si="9"/>
        <v/>
      </c>
      <c r="F105" s="170"/>
      <c r="G105" s="137"/>
      <c r="H105" s="339" t="str">
        <f t="shared" si="20"/>
        <v/>
      </c>
      <c r="I105" s="393"/>
      <c r="J105" s="169"/>
      <c r="K105" s="328"/>
      <c r="L105" s="330" t="str">
        <f t="shared" si="21"/>
        <v/>
      </c>
      <c r="M105" s="33"/>
      <c r="N105" s="168"/>
      <c r="O105" s="172"/>
      <c r="P105" s="183"/>
      <c r="Q105" s="183"/>
      <c r="R105" s="202"/>
      <c r="S105" s="34"/>
      <c r="T105" s="324"/>
      <c r="U105" s="327" t="str">
        <f t="shared" si="22"/>
        <v/>
      </c>
      <c r="V105" s="325"/>
      <c r="W105" s="320"/>
      <c r="X105" s="334"/>
      <c r="AB105" s="370">
        <v>103</v>
      </c>
      <c r="AC105" s="371">
        <f t="shared" si="23"/>
        <v>0</v>
      </c>
      <c r="AD105" s="371">
        <f t="shared" si="24"/>
        <v>0</v>
      </c>
      <c r="AE105" s="371">
        <f t="shared" si="25"/>
        <v>0</v>
      </c>
      <c r="AF105" s="371">
        <f t="shared" si="26"/>
        <v>0</v>
      </c>
      <c r="AG105" s="125" t="e">
        <f t="shared" si="27"/>
        <v>#N/A</v>
      </c>
    </row>
    <row r="106" spans="1:33" ht="15" customHeight="1" x14ac:dyDescent="0.35">
      <c r="A106" s="185">
        <v>104</v>
      </c>
      <c r="B106" s="172"/>
      <c r="C106" s="193"/>
      <c r="D106" s="324"/>
      <c r="E106" s="332" t="str">
        <f t="shared" si="9"/>
        <v/>
      </c>
      <c r="F106" s="170"/>
      <c r="G106" s="137"/>
      <c r="H106" s="339" t="str">
        <f t="shared" si="20"/>
        <v/>
      </c>
      <c r="I106" s="393"/>
      <c r="J106" s="169"/>
      <c r="K106" s="328"/>
      <c r="L106" s="330" t="str">
        <f t="shared" si="21"/>
        <v/>
      </c>
      <c r="M106" s="33"/>
      <c r="N106" s="168"/>
      <c r="O106" s="172"/>
      <c r="P106" s="183"/>
      <c r="Q106" s="183"/>
      <c r="R106" s="202"/>
      <c r="S106" s="34"/>
      <c r="T106" s="324"/>
      <c r="U106" s="327" t="str">
        <f t="shared" si="22"/>
        <v/>
      </c>
      <c r="V106" s="325"/>
      <c r="W106" s="320"/>
      <c r="X106" s="334"/>
      <c r="AB106" s="370">
        <v>104</v>
      </c>
      <c r="AC106" s="371">
        <f t="shared" si="23"/>
        <v>0</v>
      </c>
      <c r="AD106" s="371">
        <f t="shared" si="24"/>
        <v>0</v>
      </c>
      <c r="AE106" s="371">
        <f t="shared" si="25"/>
        <v>0</v>
      </c>
      <c r="AF106" s="371">
        <f t="shared" si="26"/>
        <v>0</v>
      </c>
      <c r="AG106" s="125" t="e">
        <f t="shared" si="27"/>
        <v>#N/A</v>
      </c>
    </row>
    <row r="107" spans="1:33" ht="15" customHeight="1" x14ac:dyDescent="0.35">
      <c r="A107" s="185">
        <v>105</v>
      </c>
      <c r="B107" s="172"/>
      <c r="C107" s="193"/>
      <c r="D107" s="324"/>
      <c r="E107" s="332" t="str">
        <f t="shared" si="9"/>
        <v/>
      </c>
      <c r="F107" s="170"/>
      <c r="G107" s="137"/>
      <c r="H107" s="339" t="str">
        <f t="shared" si="20"/>
        <v/>
      </c>
      <c r="I107" s="393"/>
      <c r="J107" s="169"/>
      <c r="K107" s="328"/>
      <c r="L107" s="330" t="str">
        <f t="shared" si="21"/>
        <v/>
      </c>
      <c r="M107" s="33"/>
      <c r="N107" s="168"/>
      <c r="O107" s="172"/>
      <c r="P107" s="183"/>
      <c r="Q107" s="183"/>
      <c r="R107" s="202"/>
      <c r="S107" s="34"/>
      <c r="T107" s="324"/>
      <c r="U107" s="327" t="str">
        <f t="shared" si="22"/>
        <v/>
      </c>
      <c r="V107" s="325"/>
      <c r="W107" s="320"/>
      <c r="X107" s="334"/>
      <c r="AB107" s="370">
        <v>105</v>
      </c>
      <c r="AC107" s="371">
        <f t="shared" si="23"/>
        <v>0</v>
      </c>
      <c r="AD107" s="371">
        <f t="shared" si="24"/>
        <v>0</v>
      </c>
      <c r="AE107" s="371">
        <f t="shared" si="25"/>
        <v>0</v>
      </c>
      <c r="AF107" s="371">
        <f t="shared" si="26"/>
        <v>0</v>
      </c>
      <c r="AG107" s="125" t="e">
        <f t="shared" si="27"/>
        <v>#N/A</v>
      </c>
    </row>
    <row r="108" spans="1:33" ht="15" customHeight="1" x14ac:dyDescent="0.35">
      <c r="A108" s="185">
        <v>106</v>
      </c>
      <c r="B108" s="172"/>
      <c r="C108" s="193"/>
      <c r="D108" s="324"/>
      <c r="E108" s="332" t="str">
        <f t="shared" si="9"/>
        <v/>
      </c>
      <c r="F108" s="170"/>
      <c r="G108" s="137"/>
      <c r="H108" s="339" t="str">
        <f t="shared" si="20"/>
        <v/>
      </c>
      <c r="I108" s="393"/>
      <c r="J108" s="169"/>
      <c r="K108" s="328"/>
      <c r="L108" s="330" t="str">
        <f t="shared" si="21"/>
        <v/>
      </c>
      <c r="M108" s="33"/>
      <c r="N108" s="168"/>
      <c r="O108" s="172"/>
      <c r="P108" s="183"/>
      <c r="Q108" s="183"/>
      <c r="R108" s="202"/>
      <c r="S108" s="34"/>
      <c r="T108" s="324"/>
      <c r="U108" s="327" t="str">
        <f t="shared" si="22"/>
        <v/>
      </c>
      <c r="V108" s="325"/>
      <c r="W108" s="320"/>
      <c r="X108" s="334"/>
      <c r="AB108" s="370">
        <v>106</v>
      </c>
      <c r="AC108" s="371">
        <f t="shared" si="23"/>
        <v>0</v>
      </c>
      <c r="AD108" s="371">
        <f t="shared" si="24"/>
        <v>0</v>
      </c>
      <c r="AE108" s="371">
        <f t="shared" si="25"/>
        <v>0</v>
      </c>
      <c r="AF108" s="371">
        <f t="shared" si="26"/>
        <v>0</v>
      </c>
      <c r="AG108" s="125" t="e">
        <f t="shared" si="27"/>
        <v>#N/A</v>
      </c>
    </row>
    <row r="109" spans="1:33" ht="15" customHeight="1" x14ac:dyDescent="0.35">
      <c r="A109" s="185">
        <v>107</v>
      </c>
      <c r="B109" s="172"/>
      <c r="C109" s="193"/>
      <c r="D109" s="324"/>
      <c r="E109" s="332" t="str">
        <f t="shared" si="9"/>
        <v/>
      </c>
      <c r="F109" s="170"/>
      <c r="G109" s="137"/>
      <c r="H109" s="339" t="str">
        <f t="shared" si="20"/>
        <v/>
      </c>
      <c r="I109" s="393"/>
      <c r="J109" s="169"/>
      <c r="K109" s="328"/>
      <c r="L109" s="330" t="str">
        <f t="shared" si="21"/>
        <v/>
      </c>
      <c r="M109" s="33"/>
      <c r="N109" s="168"/>
      <c r="O109" s="172"/>
      <c r="P109" s="183"/>
      <c r="Q109" s="183"/>
      <c r="R109" s="202"/>
      <c r="S109" s="34"/>
      <c r="T109" s="324"/>
      <c r="U109" s="327" t="str">
        <f t="shared" si="22"/>
        <v/>
      </c>
      <c r="V109" s="325"/>
      <c r="W109" s="320"/>
      <c r="X109" s="334"/>
      <c r="AB109" s="370">
        <v>107</v>
      </c>
      <c r="AC109" s="371">
        <f t="shared" si="23"/>
        <v>0</v>
      </c>
      <c r="AD109" s="371">
        <f t="shared" si="24"/>
        <v>0</v>
      </c>
      <c r="AE109" s="371">
        <f t="shared" si="25"/>
        <v>0</v>
      </c>
      <c r="AF109" s="371">
        <f t="shared" si="26"/>
        <v>0</v>
      </c>
      <c r="AG109" s="125" t="e">
        <f t="shared" si="27"/>
        <v>#N/A</v>
      </c>
    </row>
    <row r="110" spans="1:33" ht="15" customHeight="1" x14ac:dyDescent="0.35">
      <c r="A110" s="185">
        <v>108</v>
      </c>
      <c r="B110" s="172"/>
      <c r="C110" s="193"/>
      <c r="D110" s="324"/>
      <c r="E110" s="332" t="str">
        <f t="shared" si="9"/>
        <v/>
      </c>
      <c r="F110" s="170"/>
      <c r="G110" s="137"/>
      <c r="H110" s="339" t="str">
        <f t="shared" si="20"/>
        <v/>
      </c>
      <c r="I110" s="393"/>
      <c r="J110" s="169"/>
      <c r="K110" s="328"/>
      <c r="L110" s="330" t="str">
        <f t="shared" si="21"/>
        <v/>
      </c>
      <c r="M110" s="33"/>
      <c r="N110" s="168"/>
      <c r="O110" s="172"/>
      <c r="P110" s="183"/>
      <c r="Q110" s="183"/>
      <c r="R110" s="202"/>
      <c r="S110" s="34"/>
      <c r="T110" s="324"/>
      <c r="U110" s="327" t="str">
        <f t="shared" si="22"/>
        <v/>
      </c>
      <c r="V110" s="325"/>
      <c r="W110" s="320"/>
      <c r="X110" s="334"/>
      <c r="AB110" s="370">
        <v>108</v>
      </c>
      <c r="AC110" s="371">
        <f t="shared" si="23"/>
        <v>0</v>
      </c>
      <c r="AD110" s="371">
        <f t="shared" si="24"/>
        <v>0</v>
      </c>
      <c r="AE110" s="371">
        <f t="shared" si="25"/>
        <v>0</v>
      </c>
      <c r="AF110" s="371">
        <f t="shared" si="26"/>
        <v>0</v>
      </c>
      <c r="AG110" s="125" t="e">
        <f t="shared" si="27"/>
        <v>#N/A</v>
      </c>
    </row>
    <row r="111" spans="1:33" ht="15" customHeight="1" x14ac:dyDescent="0.35">
      <c r="A111" s="185">
        <v>109</v>
      </c>
      <c r="B111" s="172"/>
      <c r="C111" s="193"/>
      <c r="D111" s="324"/>
      <c r="E111" s="332" t="str">
        <f t="shared" si="9"/>
        <v/>
      </c>
      <c r="F111" s="170"/>
      <c r="G111" s="137"/>
      <c r="H111" s="339" t="str">
        <f t="shared" si="20"/>
        <v/>
      </c>
      <c r="I111" s="393"/>
      <c r="J111" s="169"/>
      <c r="K111" s="328"/>
      <c r="L111" s="330" t="str">
        <f t="shared" si="21"/>
        <v/>
      </c>
      <c r="M111" s="33"/>
      <c r="N111" s="168"/>
      <c r="O111" s="172"/>
      <c r="P111" s="183"/>
      <c r="Q111" s="183"/>
      <c r="R111" s="202"/>
      <c r="S111" s="34"/>
      <c r="T111" s="324"/>
      <c r="U111" s="327" t="str">
        <f t="shared" si="22"/>
        <v/>
      </c>
      <c r="V111" s="325"/>
      <c r="W111" s="320"/>
      <c r="X111" s="334"/>
      <c r="AB111" s="370">
        <v>109</v>
      </c>
      <c r="AC111" s="371">
        <f t="shared" si="23"/>
        <v>0</v>
      </c>
      <c r="AD111" s="371">
        <f t="shared" si="24"/>
        <v>0</v>
      </c>
      <c r="AE111" s="371">
        <f t="shared" si="25"/>
        <v>0</v>
      </c>
      <c r="AF111" s="371">
        <f t="shared" si="26"/>
        <v>0</v>
      </c>
      <c r="AG111" s="125" t="e">
        <f t="shared" si="27"/>
        <v>#N/A</v>
      </c>
    </row>
    <row r="112" spans="1:33" ht="15" customHeight="1" x14ac:dyDescent="0.35">
      <c r="A112" s="185">
        <v>110</v>
      </c>
      <c r="B112" s="172"/>
      <c r="C112" s="193"/>
      <c r="D112" s="324"/>
      <c r="E112" s="332" t="str">
        <f t="shared" si="9"/>
        <v/>
      </c>
      <c r="F112" s="170"/>
      <c r="G112" s="137"/>
      <c r="H112" s="339" t="str">
        <f t="shared" si="20"/>
        <v/>
      </c>
      <c r="I112" s="393"/>
      <c r="J112" s="169"/>
      <c r="K112" s="328"/>
      <c r="L112" s="330" t="str">
        <f t="shared" si="21"/>
        <v/>
      </c>
      <c r="M112" s="33"/>
      <c r="N112" s="168"/>
      <c r="O112" s="172"/>
      <c r="P112" s="183"/>
      <c r="Q112" s="183"/>
      <c r="R112" s="202"/>
      <c r="S112" s="34"/>
      <c r="T112" s="324"/>
      <c r="U112" s="327" t="str">
        <f t="shared" si="22"/>
        <v/>
      </c>
      <c r="V112" s="325"/>
      <c r="W112" s="320"/>
      <c r="X112" s="334"/>
      <c r="AB112" s="370">
        <v>110</v>
      </c>
      <c r="AC112" s="371">
        <f t="shared" si="23"/>
        <v>0</v>
      </c>
      <c r="AD112" s="371">
        <f t="shared" si="24"/>
        <v>0</v>
      </c>
      <c r="AE112" s="371">
        <f t="shared" si="25"/>
        <v>0</v>
      </c>
      <c r="AF112" s="371">
        <f t="shared" si="26"/>
        <v>0</v>
      </c>
      <c r="AG112" s="125" t="e">
        <f t="shared" si="27"/>
        <v>#N/A</v>
      </c>
    </row>
    <row r="113" spans="1:33" ht="15" customHeight="1" x14ac:dyDescent="0.35">
      <c r="A113" s="185">
        <v>111</v>
      </c>
      <c r="B113" s="172"/>
      <c r="C113" s="193"/>
      <c r="D113" s="324"/>
      <c r="E113" s="332" t="str">
        <f t="shared" si="9"/>
        <v/>
      </c>
      <c r="F113" s="170"/>
      <c r="G113" s="137"/>
      <c r="H113" s="339" t="str">
        <f t="shared" si="20"/>
        <v/>
      </c>
      <c r="I113" s="393"/>
      <c r="J113" s="169"/>
      <c r="K113" s="328"/>
      <c r="L113" s="330" t="str">
        <f t="shared" si="21"/>
        <v/>
      </c>
      <c r="M113" s="33"/>
      <c r="N113" s="168"/>
      <c r="O113" s="172"/>
      <c r="P113" s="183"/>
      <c r="Q113" s="183"/>
      <c r="R113" s="202"/>
      <c r="S113" s="34"/>
      <c r="T113" s="324"/>
      <c r="U113" s="327" t="str">
        <f t="shared" si="22"/>
        <v/>
      </c>
      <c r="V113" s="325"/>
      <c r="W113" s="320"/>
      <c r="X113" s="334"/>
      <c r="AB113" s="370">
        <v>111</v>
      </c>
      <c r="AC113" s="371">
        <f t="shared" si="23"/>
        <v>0</v>
      </c>
      <c r="AD113" s="371">
        <f t="shared" si="24"/>
        <v>0</v>
      </c>
      <c r="AE113" s="371">
        <f t="shared" si="25"/>
        <v>0</v>
      </c>
      <c r="AF113" s="371">
        <f t="shared" si="26"/>
        <v>0</v>
      </c>
      <c r="AG113" s="125" t="e">
        <f t="shared" si="27"/>
        <v>#N/A</v>
      </c>
    </row>
    <row r="114" spans="1:33" ht="15" customHeight="1" x14ac:dyDescent="0.35">
      <c r="A114" s="185">
        <v>112</v>
      </c>
      <c r="B114" s="172"/>
      <c r="C114" s="193"/>
      <c r="D114" s="324"/>
      <c r="E114" s="332" t="str">
        <f t="shared" si="9"/>
        <v/>
      </c>
      <c r="F114" s="170"/>
      <c r="G114" s="137"/>
      <c r="H114" s="339" t="str">
        <f t="shared" si="20"/>
        <v/>
      </c>
      <c r="I114" s="393"/>
      <c r="J114" s="169"/>
      <c r="K114" s="328"/>
      <c r="L114" s="330" t="str">
        <f t="shared" si="21"/>
        <v/>
      </c>
      <c r="M114" s="33"/>
      <c r="N114" s="168"/>
      <c r="O114" s="172"/>
      <c r="P114" s="183"/>
      <c r="Q114" s="183"/>
      <c r="R114" s="202"/>
      <c r="S114" s="34"/>
      <c r="T114" s="324"/>
      <c r="U114" s="327" t="str">
        <f t="shared" si="22"/>
        <v/>
      </c>
      <c r="V114" s="325"/>
      <c r="W114" s="320"/>
      <c r="X114" s="334"/>
      <c r="AB114" s="370">
        <v>112</v>
      </c>
      <c r="AC114" s="371">
        <f t="shared" si="23"/>
        <v>0</v>
      </c>
      <c r="AD114" s="371">
        <f t="shared" si="24"/>
        <v>0</v>
      </c>
      <c r="AE114" s="371">
        <f t="shared" si="25"/>
        <v>0</v>
      </c>
      <c r="AF114" s="371">
        <f t="shared" si="26"/>
        <v>0</v>
      </c>
      <c r="AG114" s="125" t="e">
        <f t="shared" si="27"/>
        <v>#N/A</v>
      </c>
    </row>
    <row r="115" spans="1:33" ht="15" customHeight="1" x14ac:dyDescent="0.35">
      <c r="A115" s="185">
        <v>113</v>
      </c>
      <c r="B115" s="172"/>
      <c r="C115" s="193"/>
      <c r="D115" s="324"/>
      <c r="E115" s="332" t="str">
        <f t="shared" si="9"/>
        <v/>
      </c>
      <c r="F115" s="170"/>
      <c r="G115" s="137"/>
      <c r="H115" s="339" t="str">
        <f t="shared" si="20"/>
        <v/>
      </c>
      <c r="I115" s="393"/>
      <c r="J115" s="169"/>
      <c r="K115" s="328"/>
      <c r="L115" s="330" t="str">
        <f t="shared" si="21"/>
        <v/>
      </c>
      <c r="M115" s="33"/>
      <c r="N115" s="168"/>
      <c r="O115" s="172"/>
      <c r="P115" s="183"/>
      <c r="Q115" s="183"/>
      <c r="R115" s="202"/>
      <c r="S115" s="34"/>
      <c r="T115" s="324"/>
      <c r="U115" s="327" t="str">
        <f t="shared" si="22"/>
        <v/>
      </c>
      <c r="V115" s="325"/>
      <c r="W115" s="320"/>
      <c r="X115" s="334"/>
      <c r="AB115" s="370">
        <v>113</v>
      </c>
      <c r="AC115" s="371">
        <f t="shared" si="23"/>
        <v>0</v>
      </c>
      <c r="AD115" s="371">
        <f t="shared" si="24"/>
        <v>0</v>
      </c>
      <c r="AE115" s="371">
        <f t="shared" si="25"/>
        <v>0</v>
      </c>
      <c r="AF115" s="371">
        <f t="shared" si="26"/>
        <v>0</v>
      </c>
      <c r="AG115" s="125" t="e">
        <f t="shared" si="27"/>
        <v>#N/A</v>
      </c>
    </row>
    <row r="116" spans="1:33" ht="15" customHeight="1" x14ac:dyDescent="0.35">
      <c r="A116" s="185">
        <v>114</v>
      </c>
      <c r="B116" s="172"/>
      <c r="C116" s="193"/>
      <c r="D116" s="324"/>
      <c r="E116" s="332" t="str">
        <f t="shared" si="9"/>
        <v/>
      </c>
      <c r="F116" s="170"/>
      <c r="G116" s="137"/>
      <c r="H116" s="339" t="str">
        <f t="shared" si="20"/>
        <v/>
      </c>
      <c r="I116" s="393"/>
      <c r="J116" s="169"/>
      <c r="K116" s="328"/>
      <c r="L116" s="330" t="str">
        <f t="shared" si="21"/>
        <v/>
      </c>
      <c r="M116" s="33"/>
      <c r="N116" s="168"/>
      <c r="O116" s="172"/>
      <c r="P116" s="183"/>
      <c r="Q116" s="183"/>
      <c r="R116" s="202"/>
      <c r="S116" s="34"/>
      <c r="T116" s="324"/>
      <c r="U116" s="327" t="str">
        <f t="shared" si="22"/>
        <v/>
      </c>
      <c r="V116" s="325"/>
      <c r="W116" s="320"/>
      <c r="X116" s="334"/>
      <c r="AB116" s="370">
        <v>114</v>
      </c>
      <c r="AC116" s="371">
        <f t="shared" si="23"/>
        <v>0</v>
      </c>
      <c r="AD116" s="371">
        <f t="shared" si="24"/>
        <v>0</v>
      </c>
      <c r="AE116" s="371">
        <f t="shared" si="25"/>
        <v>0</v>
      </c>
      <c r="AF116" s="371">
        <f t="shared" si="26"/>
        <v>0</v>
      </c>
      <c r="AG116" s="125" t="e">
        <f t="shared" si="27"/>
        <v>#N/A</v>
      </c>
    </row>
    <row r="117" spans="1:33" ht="15" customHeight="1" x14ac:dyDescent="0.35">
      <c r="A117" s="185">
        <v>115</v>
      </c>
      <c r="B117" s="172"/>
      <c r="C117" s="193"/>
      <c r="D117" s="324"/>
      <c r="E117" s="332" t="str">
        <f t="shared" si="9"/>
        <v/>
      </c>
      <c r="F117" s="170"/>
      <c r="G117" s="137"/>
      <c r="H117" s="339" t="str">
        <f t="shared" si="20"/>
        <v/>
      </c>
      <c r="I117" s="393"/>
      <c r="J117" s="169"/>
      <c r="K117" s="328"/>
      <c r="L117" s="330" t="str">
        <f t="shared" si="21"/>
        <v/>
      </c>
      <c r="M117" s="33"/>
      <c r="N117" s="168"/>
      <c r="O117" s="172"/>
      <c r="P117" s="183"/>
      <c r="Q117" s="183"/>
      <c r="R117" s="202"/>
      <c r="S117" s="34"/>
      <c r="T117" s="324"/>
      <c r="U117" s="327" t="str">
        <f t="shared" si="22"/>
        <v/>
      </c>
      <c r="V117" s="325"/>
      <c r="W117" s="320"/>
      <c r="X117" s="334"/>
      <c r="AB117" s="370">
        <v>115</v>
      </c>
      <c r="AC117" s="371">
        <f t="shared" si="23"/>
        <v>0</v>
      </c>
      <c r="AD117" s="371">
        <f t="shared" si="24"/>
        <v>0</v>
      </c>
      <c r="AE117" s="371">
        <f t="shared" si="25"/>
        <v>0</v>
      </c>
      <c r="AF117" s="371">
        <f t="shared" si="26"/>
        <v>0</v>
      </c>
      <c r="AG117" s="125" t="e">
        <f t="shared" si="27"/>
        <v>#N/A</v>
      </c>
    </row>
    <row r="118" spans="1:33" ht="15" customHeight="1" x14ac:dyDescent="0.35">
      <c r="A118" s="185">
        <v>116</v>
      </c>
      <c r="B118" s="172"/>
      <c r="C118" s="193"/>
      <c r="D118" s="324"/>
      <c r="E118" s="332" t="str">
        <f t="shared" si="9"/>
        <v/>
      </c>
      <c r="F118" s="170"/>
      <c r="G118" s="137"/>
      <c r="H118" s="339" t="str">
        <f t="shared" si="20"/>
        <v/>
      </c>
      <c r="I118" s="393"/>
      <c r="J118" s="169"/>
      <c r="K118" s="328"/>
      <c r="L118" s="330" t="str">
        <f t="shared" si="21"/>
        <v/>
      </c>
      <c r="M118" s="33"/>
      <c r="N118" s="168"/>
      <c r="O118" s="172"/>
      <c r="P118" s="183"/>
      <c r="Q118" s="183"/>
      <c r="R118" s="202"/>
      <c r="S118" s="34"/>
      <c r="T118" s="324"/>
      <c r="U118" s="327" t="str">
        <f t="shared" si="22"/>
        <v/>
      </c>
      <c r="V118" s="325"/>
      <c r="W118" s="320"/>
      <c r="X118" s="334"/>
      <c r="AB118" s="370">
        <v>116</v>
      </c>
      <c r="AC118" s="371">
        <f t="shared" si="23"/>
        <v>0</v>
      </c>
      <c r="AD118" s="371">
        <f t="shared" si="24"/>
        <v>0</v>
      </c>
      <c r="AE118" s="371">
        <f t="shared" si="25"/>
        <v>0</v>
      </c>
      <c r="AF118" s="371">
        <f t="shared" si="26"/>
        <v>0</v>
      </c>
      <c r="AG118" s="125" t="e">
        <f t="shared" si="27"/>
        <v>#N/A</v>
      </c>
    </row>
    <row r="119" spans="1:33" ht="15" customHeight="1" x14ac:dyDescent="0.35">
      <c r="A119" s="185">
        <v>117</v>
      </c>
      <c r="B119" s="172"/>
      <c r="C119" s="193"/>
      <c r="D119" s="324"/>
      <c r="E119" s="332" t="str">
        <f t="shared" si="9"/>
        <v/>
      </c>
      <c r="F119" s="170"/>
      <c r="G119" s="137"/>
      <c r="H119" s="339" t="str">
        <f t="shared" si="20"/>
        <v/>
      </c>
      <c r="I119" s="393"/>
      <c r="J119" s="169"/>
      <c r="K119" s="328"/>
      <c r="L119" s="330" t="str">
        <f t="shared" si="21"/>
        <v/>
      </c>
      <c r="M119" s="33"/>
      <c r="N119" s="168"/>
      <c r="O119" s="172"/>
      <c r="P119" s="183"/>
      <c r="Q119" s="183"/>
      <c r="R119" s="202"/>
      <c r="S119" s="34"/>
      <c r="T119" s="324"/>
      <c r="U119" s="327" t="str">
        <f t="shared" si="22"/>
        <v/>
      </c>
      <c r="V119" s="325"/>
      <c r="W119" s="320"/>
      <c r="X119" s="334"/>
      <c r="AB119" s="370">
        <v>117</v>
      </c>
      <c r="AC119" s="371">
        <f t="shared" si="23"/>
        <v>0</v>
      </c>
      <c r="AD119" s="371">
        <f t="shared" si="24"/>
        <v>0</v>
      </c>
      <c r="AE119" s="371">
        <f t="shared" si="25"/>
        <v>0</v>
      </c>
      <c r="AF119" s="371">
        <f t="shared" si="26"/>
        <v>0</v>
      </c>
      <c r="AG119" s="125" t="e">
        <f t="shared" si="27"/>
        <v>#N/A</v>
      </c>
    </row>
    <row r="120" spans="1:33" ht="15" customHeight="1" x14ac:dyDescent="0.35">
      <c r="A120" s="185">
        <v>118</v>
      </c>
      <c r="B120" s="172"/>
      <c r="C120" s="193"/>
      <c r="D120" s="324"/>
      <c r="E120" s="332" t="str">
        <f t="shared" si="9"/>
        <v/>
      </c>
      <c r="F120" s="170"/>
      <c r="G120" s="137"/>
      <c r="H120" s="339" t="str">
        <f t="shared" si="20"/>
        <v/>
      </c>
      <c r="I120" s="393"/>
      <c r="J120" s="169"/>
      <c r="K120" s="328"/>
      <c r="L120" s="330" t="str">
        <f t="shared" si="21"/>
        <v/>
      </c>
      <c r="M120" s="33"/>
      <c r="N120" s="168"/>
      <c r="O120" s="172"/>
      <c r="P120" s="183"/>
      <c r="Q120" s="183"/>
      <c r="R120" s="202"/>
      <c r="S120" s="34"/>
      <c r="T120" s="324"/>
      <c r="U120" s="327" t="str">
        <f t="shared" si="22"/>
        <v/>
      </c>
      <c r="V120" s="325"/>
      <c r="W120" s="320"/>
      <c r="X120" s="334"/>
      <c r="AB120" s="370">
        <v>118</v>
      </c>
      <c r="AC120" s="371">
        <f t="shared" si="23"/>
        <v>0</v>
      </c>
      <c r="AD120" s="371">
        <f t="shared" si="24"/>
        <v>0</v>
      </c>
      <c r="AE120" s="371">
        <f t="shared" si="25"/>
        <v>0</v>
      </c>
      <c r="AF120" s="371">
        <f t="shared" si="26"/>
        <v>0</v>
      </c>
      <c r="AG120" s="125" t="e">
        <f t="shared" si="27"/>
        <v>#N/A</v>
      </c>
    </row>
    <row r="121" spans="1:33" ht="15" customHeight="1" x14ac:dyDescent="0.35">
      <c r="A121" s="185">
        <v>119</v>
      </c>
      <c r="B121" s="172"/>
      <c r="C121" s="193"/>
      <c r="D121" s="324"/>
      <c r="E121" s="332" t="str">
        <f t="shared" si="9"/>
        <v/>
      </c>
      <c r="F121" s="170"/>
      <c r="G121" s="137"/>
      <c r="H121" s="339" t="str">
        <f t="shared" si="20"/>
        <v/>
      </c>
      <c r="I121" s="393"/>
      <c r="J121" s="169"/>
      <c r="K121" s="328"/>
      <c r="L121" s="330" t="str">
        <f t="shared" si="21"/>
        <v/>
      </c>
      <c r="M121" s="33"/>
      <c r="N121" s="168"/>
      <c r="O121" s="172"/>
      <c r="P121" s="183"/>
      <c r="Q121" s="183"/>
      <c r="R121" s="202"/>
      <c r="S121" s="34"/>
      <c r="T121" s="324"/>
      <c r="U121" s="327" t="str">
        <f t="shared" si="22"/>
        <v/>
      </c>
      <c r="V121" s="325"/>
      <c r="W121" s="320"/>
      <c r="X121" s="334"/>
      <c r="AB121" s="370">
        <v>119</v>
      </c>
      <c r="AC121" s="371">
        <f t="shared" si="23"/>
        <v>0</v>
      </c>
      <c r="AD121" s="371">
        <f t="shared" si="24"/>
        <v>0</v>
      </c>
      <c r="AE121" s="371">
        <f t="shared" si="25"/>
        <v>0</v>
      </c>
      <c r="AF121" s="371">
        <f t="shared" si="26"/>
        <v>0</v>
      </c>
      <c r="AG121" s="125" t="e">
        <f t="shared" si="27"/>
        <v>#N/A</v>
      </c>
    </row>
    <row r="122" spans="1:33" ht="15" customHeight="1" x14ac:dyDescent="0.35">
      <c r="A122" s="185">
        <v>120</v>
      </c>
      <c r="B122" s="172"/>
      <c r="C122" s="193"/>
      <c r="D122" s="324"/>
      <c r="E122" s="332" t="str">
        <f t="shared" si="9"/>
        <v/>
      </c>
      <c r="F122" s="170"/>
      <c r="G122" s="137"/>
      <c r="H122" s="339" t="str">
        <f t="shared" si="20"/>
        <v/>
      </c>
      <c r="I122" s="393"/>
      <c r="J122" s="169"/>
      <c r="K122" s="328"/>
      <c r="L122" s="330" t="str">
        <f t="shared" si="21"/>
        <v/>
      </c>
      <c r="M122" s="33"/>
      <c r="N122" s="168"/>
      <c r="O122" s="172"/>
      <c r="P122" s="183"/>
      <c r="Q122" s="183"/>
      <c r="R122" s="202"/>
      <c r="S122" s="34"/>
      <c r="T122" s="324"/>
      <c r="U122" s="327" t="str">
        <f t="shared" si="22"/>
        <v/>
      </c>
      <c r="V122" s="325"/>
      <c r="W122" s="320"/>
      <c r="X122" s="334"/>
      <c r="AB122" s="370">
        <v>120</v>
      </c>
      <c r="AC122" s="371">
        <f t="shared" si="23"/>
        <v>0</v>
      </c>
      <c r="AD122" s="371">
        <f t="shared" si="24"/>
        <v>0</v>
      </c>
      <c r="AE122" s="371">
        <f t="shared" si="25"/>
        <v>0</v>
      </c>
      <c r="AF122" s="371">
        <f t="shared" si="26"/>
        <v>0</v>
      </c>
      <c r="AG122" s="125" t="e">
        <f t="shared" si="27"/>
        <v>#N/A</v>
      </c>
    </row>
    <row r="123" spans="1:33" ht="15" customHeight="1" x14ac:dyDescent="0.35">
      <c r="A123" s="185">
        <v>121</v>
      </c>
      <c r="B123" s="172"/>
      <c r="C123" s="193"/>
      <c r="D123" s="324"/>
      <c r="E123" s="332" t="str">
        <f t="shared" si="9"/>
        <v/>
      </c>
      <c r="F123" s="170"/>
      <c r="G123" s="137"/>
      <c r="H123" s="339" t="str">
        <f t="shared" si="20"/>
        <v/>
      </c>
      <c r="I123" s="393"/>
      <c r="J123" s="169"/>
      <c r="K123" s="328"/>
      <c r="L123" s="330" t="str">
        <f t="shared" si="21"/>
        <v/>
      </c>
      <c r="M123" s="33"/>
      <c r="N123" s="168"/>
      <c r="O123" s="172"/>
      <c r="P123" s="183"/>
      <c r="Q123" s="183"/>
      <c r="R123" s="202"/>
      <c r="S123" s="34"/>
      <c r="T123" s="324"/>
      <c r="U123" s="327" t="str">
        <f t="shared" si="22"/>
        <v/>
      </c>
      <c r="V123" s="325"/>
      <c r="W123" s="320"/>
      <c r="X123" s="334"/>
      <c r="AB123" s="370">
        <v>121</v>
      </c>
      <c r="AC123" s="371">
        <f t="shared" si="23"/>
        <v>0</v>
      </c>
      <c r="AD123" s="371">
        <f t="shared" si="24"/>
        <v>0</v>
      </c>
      <c r="AE123" s="371">
        <f t="shared" si="25"/>
        <v>0</v>
      </c>
      <c r="AF123" s="371">
        <f t="shared" si="26"/>
        <v>0</v>
      </c>
      <c r="AG123" s="125" t="e">
        <f t="shared" si="27"/>
        <v>#N/A</v>
      </c>
    </row>
    <row r="124" spans="1:33" ht="15" customHeight="1" x14ac:dyDescent="0.35">
      <c r="A124" s="185">
        <v>122</v>
      </c>
      <c r="B124" s="172"/>
      <c r="C124" s="193"/>
      <c r="D124" s="324"/>
      <c r="E124" s="332" t="str">
        <f t="shared" si="9"/>
        <v/>
      </c>
      <c r="F124" s="170"/>
      <c r="G124" s="137"/>
      <c r="H124" s="339" t="str">
        <f t="shared" si="20"/>
        <v/>
      </c>
      <c r="I124" s="393"/>
      <c r="J124" s="169"/>
      <c r="K124" s="328"/>
      <c r="L124" s="330" t="str">
        <f t="shared" si="21"/>
        <v/>
      </c>
      <c r="M124" s="33"/>
      <c r="N124" s="168"/>
      <c r="O124" s="172"/>
      <c r="P124" s="183"/>
      <c r="Q124" s="183"/>
      <c r="R124" s="202"/>
      <c r="S124" s="34"/>
      <c r="T124" s="324"/>
      <c r="U124" s="327" t="str">
        <f t="shared" si="22"/>
        <v/>
      </c>
      <c r="V124" s="325"/>
      <c r="W124" s="320"/>
      <c r="X124" s="334"/>
      <c r="AB124" s="370">
        <v>122</v>
      </c>
      <c r="AC124" s="371">
        <f t="shared" si="23"/>
        <v>0</v>
      </c>
      <c r="AD124" s="371">
        <f t="shared" si="24"/>
        <v>0</v>
      </c>
      <c r="AE124" s="371">
        <f t="shared" si="25"/>
        <v>0</v>
      </c>
      <c r="AF124" s="371">
        <f t="shared" si="26"/>
        <v>0</v>
      </c>
      <c r="AG124" s="125" t="e">
        <f t="shared" si="27"/>
        <v>#N/A</v>
      </c>
    </row>
    <row r="125" spans="1:33" ht="15" customHeight="1" x14ac:dyDescent="0.35">
      <c r="A125" s="185">
        <v>123</v>
      </c>
      <c r="B125" s="172"/>
      <c r="C125" s="193"/>
      <c r="D125" s="324"/>
      <c r="E125" s="332" t="str">
        <f t="shared" si="9"/>
        <v/>
      </c>
      <c r="F125" s="170"/>
      <c r="G125" s="137"/>
      <c r="H125" s="339" t="str">
        <f t="shared" si="20"/>
        <v/>
      </c>
      <c r="I125" s="393"/>
      <c r="J125" s="169"/>
      <c r="K125" s="328"/>
      <c r="L125" s="330" t="str">
        <f t="shared" si="21"/>
        <v/>
      </c>
      <c r="M125" s="33"/>
      <c r="N125" s="168"/>
      <c r="O125" s="172"/>
      <c r="P125" s="183"/>
      <c r="Q125" s="183"/>
      <c r="R125" s="202"/>
      <c r="S125" s="34"/>
      <c r="T125" s="324"/>
      <c r="U125" s="327" t="str">
        <f t="shared" si="22"/>
        <v/>
      </c>
      <c r="V125" s="325"/>
      <c r="W125" s="320"/>
      <c r="X125" s="334"/>
      <c r="AB125" s="370">
        <v>123</v>
      </c>
      <c r="AC125" s="371">
        <f t="shared" si="23"/>
        <v>0</v>
      </c>
      <c r="AD125" s="371">
        <f t="shared" si="24"/>
        <v>0</v>
      </c>
      <c r="AE125" s="371">
        <f t="shared" si="25"/>
        <v>0</v>
      </c>
      <c r="AF125" s="371">
        <f t="shared" si="26"/>
        <v>0</v>
      </c>
      <c r="AG125" s="125" t="e">
        <f t="shared" si="27"/>
        <v>#N/A</v>
      </c>
    </row>
    <row r="126" spans="1:33" ht="15" customHeight="1" x14ac:dyDescent="0.35">
      <c r="A126" s="185">
        <v>124</v>
      </c>
      <c r="B126" s="172"/>
      <c r="C126" s="193"/>
      <c r="D126" s="324"/>
      <c r="E126" s="332" t="str">
        <f t="shared" si="9"/>
        <v/>
      </c>
      <c r="F126" s="170"/>
      <c r="G126" s="137"/>
      <c r="H126" s="339" t="str">
        <f t="shared" si="20"/>
        <v/>
      </c>
      <c r="I126" s="393"/>
      <c r="J126" s="169"/>
      <c r="K126" s="328"/>
      <c r="L126" s="330" t="str">
        <f t="shared" si="21"/>
        <v/>
      </c>
      <c r="M126" s="33"/>
      <c r="N126" s="168"/>
      <c r="O126" s="172"/>
      <c r="P126" s="183"/>
      <c r="Q126" s="183"/>
      <c r="R126" s="202"/>
      <c r="S126" s="34"/>
      <c r="T126" s="324"/>
      <c r="U126" s="327" t="str">
        <f t="shared" si="22"/>
        <v/>
      </c>
      <c r="V126" s="325"/>
      <c r="W126" s="320"/>
      <c r="X126" s="334"/>
      <c r="AB126" s="370">
        <v>124</v>
      </c>
      <c r="AC126" s="371">
        <f t="shared" si="23"/>
        <v>0</v>
      </c>
      <c r="AD126" s="371">
        <f t="shared" si="24"/>
        <v>0</v>
      </c>
      <c r="AE126" s="371">
        <f t="shared" si="25"/>
        <v>0</v>
      </c>
      <c r="AF126" s="371">
        <f t="shared" si="26"/>
        <v>0</v>
      </c>
      <c r="AG126" s="125" t="e">
        <f t="shared" si="27"/>
        <v>#N/A</v>
      </c>
    </row>
    <row r="127" spans="1:33" ht="15" customHeight="1" x14ac:dyDescent="0.35">
      <c r="A127" s="185">
        <v>125</v>
      </c>
      <c r="B127" s="172"/>
      <c r="C127" s="193"/>
      <c r="D127" s="324"/>
      <c r="E127" s="332" t="str">
        <f t="shared" si="9"/>
        <v/>
      </c>
      <c r="F127" s="170"/>
      <c r="G127" s="137"/>
      <c r="H127" s="339" t="str">
        <f t="shared" si="20"/>
        <v/>
      </c>
      <c r="I127" s="393"/>
      <c r="J127" s="169"/>
      <c r="K127" s="328"/>
      <c r="L127" s="330" t="str">
        <f t="shared" si="21"/>
        <v/>
      </c>
      <c r="M127" s="33"/>
      <c r="N127" s="168"/>
      <c r="O127" s="172"/>
      <c r="P127" s="183"/>
      <c r="Q127" s="183"/>
      <c r="R127" s="202"/>
      <c r="S127" s="34"/>
      <c r="T127" s="324"/>
      <c r="U127" s="327" t="str">
        <f t="shared" si="22"/>
        <v/>
      </c>
      <c r="V127" s="325"/>
      <c r="W127" s="320"/>
      <c r="X127" s="334"/>
      <c r="AB127" s="370">
        <v>125</v>
      </c>
      <c r="AC127" s="371">
        <f t="shared" si="23"/>
        <v>0</v>
      </c>
      <c r="AD127" s="371">
        <f t="shared" si="24"/>
        <v>0</v>
      </c>
      <c r="AE127" s="371">
        <f t="shared" si="25"/>
        <v>0</v>
      </c>
      <c r="AF127" s="371">
        <f t="shared" si="26"/>
        <v>0</v>
      </c>
      <c r="AG127" s="125" t="e">
        <f t="shared" si="27"/>
        <v>#N/A</v>
      </c>
    </row>
    <row r="128" spans="1:33" ht="15" customHeight="1" x14ac:dyDescent="0.35">
      <c r="A128" s="185">
        <v>126</v>
      </c>
      <c r="B128" s="172"/>
      <c r="C128" s="193"/>
      <c r="D128" s="324"/>
      <c r="E128" s="332" t="str">
        <f t="shared" si="9"/>
        <v/>
      </c>
      <c r="F128" s="170"/>
      <c r="G128" s="137"/>
      <c r="H128" s="339" t="str">
        <f t="shared" si="20"/>
        <v/>
      </c>
      <c r="I128" s="393"/>
      <c r="J128" s="169"/>
      <c r="K128" s="328"/>
      <c r="L128" s="330" t="str">
        <f t="shared" si="21"/>
        <v/>
      </c>
      <c r="M128" s="33"/>
      <c r="N128" s="168"/>
      <c r="O128" s="172"/>
      <c r="P128" s="183"/>
      <c r="Q128" s="183"/>
      <c r="R128" s="202"/>
      <c r="S128" s="34"/>
      <c r="T128" s="324"/>
      <c r="U128" s="327" t="str">
        <f t="shared" si="22"/>
        <v/>
      </c>
      <c r="V128" s="325"/>
      <c r="W128" s="320"/>
      <c r="X128" s="334"/>
      <c r="AB128" s="370">
        <v>126</v>
      </c>
      <c r="AC128" s="371">
        <f t="shared" si="23"/>
        <v>0</v>
      </c>
      <c r="AD128" s="371">
        <f t="shared" si="24"/>
        <v>0</v>
      </c>
      <c r="AE128" s="371">
        <f t="shared" si="25"/>
        <v>0</v>
      </c>
      <c r="AF128" s="371">
        <f t="shared" si="26"/>
        <v>0</v>
      </c>
      <c r="AG128" s="125" t="e">
        <f t="shared" si="27"/>
        <v>#N/A</v>
      </c>
    </row>
    <row r="129" spans="1:33" ht="15" customHeight="1" x14ac:dyDescent="0.35">
      <c r="A129" s="185">
        <v>127</v>
      </c>
      <c r="B129" s="172"/>
      <c r="C129" s="193"/>
      <c r="D129" s="324"/>
      <c r="E129" s="332" t="str">
        <f t="shared" si="9"/>
        <v/>
      </c>
      <c r="F129" s="170"/>
      <c r="G129" s="137"/>
      <c r="H129" s="339" t="str">
        <f t="shared" si="20"/>
        <v/>
      </c>
      <c r="I129" s="393"/>
      <c r="J129" s="169"/>
      <c r="K129" s="328"/>
      <c r="L129" s="330" t="str">
        <f t="shared" si="21"/>
        <v/>
      </c>
      <c r="M129" s="33"/>
      <c r="N129" s="168"/>
      <c r="O129" s="172"/>
      <c r="P129" s="183"/>
      <c r="Q129" s="183"/>
      <c r="R129" s="202"/>
      <c r="S129" s="34"/>
      <c r="T129" s="324"/>
      <c r="U129" s="327" t="str">
        <f t="shared" si="22"/>
        <v/>
      </c>
      <c r="V129" s="325"/>
      <c r="W129" s="320"/>
      <c r="X129" s="334"/>
      <c r="AB129" s="370">
        <v>127</v>
      </c>
      <c r="AC129" s="371">
        <f t="shared" si="23"/>
        <v>0</v>
      </c>
      <c r="AD129" s="371">
        <f t="shared" si="24"/>
        <v>0</v>
      </c>
      <c r="AE129" s="371">
        <f t="shared" si="25"/>
        <v>0</v>
      </c>
      <c r="AF129" s="371">
        <f t="shared" si="26"/>
        <v>0</v>
      </c>
      <c r="AG129" s="125" t="e">
        <f t="shared" si="27"/>
        <v>#N/A</v>
      </c>
    </row>
    <row r="130" spans="1:33" ht="15" customHeight="1" x14ac:dyDescent="0.35">
      <c r="A130" s="185">
        <v>128</v>
      </c>
      <c r="B130" s="172"/>
      <c r="C130" s="193"/>
      <c r="D130" s="324"/>
      <c r="E130" s="332" t="str">
        <f t="shared" si="9"/>
        <v/>
      </c>
      <c r="F130" s="170"/>
      <c r="G130" s="137"/>
      <c r="H130" s="339" t="str">
        <f t="shared" si="20"/>
        <v/>
      </c>
      <c r="I130" s="393"/>
      <c r="J130" s="169"/>
      <c r="K130" s="328"/>
      <c r="L130" s="330" t="str">
        <f t="shared" si="21"/>
        <v/>
      </c>
      <c r="M130" s="33"/>
      <c r="N130" s="168"/>
      <c r="O130" s="172"/>
      <c r="P130" s="183"/>
      <c r="Q130" s="183"/>
      <c r="R130" s="202"/>
      <c r="S130" s="34"/>
      <c r="T130" s="324"/>
      <c r="U130" s="327" t="str">
        <f t="shared" si="22"/>
        <v/>
      </c>
      <c r="V130" s="325"/>
      <c r="W130" s="320"/>
      <c r="X130" s="334"/>
      <c r="AB130" s="370">
        <v>128</v>
      </c>
      <c r="AC130" s="371">
        <f t="shared" si="23"/>
        <v>0</v>
      </c>
      <c r="AD130" s="371">
        <f t="shared" si="24"/>
        <v>0</v>
      </c>
      <c r="AE130" s="371">
        <f t="shared" si="25"/>
        <v>0</v>
      </c>
      <c r="AF130" s="371">
        <f t="shared" si="26"/>
        <v>0</v>
      </c>
      <c r="AG130" s="125" t="e">
        <f t="shared" si="27"/>
        <v>#N/A</v>
      </c>
    </row>
    <row r="131" spans="1:33" ht="15" customHeight="1" x14ac:dyDescent="0.35">
      <c r="A131" s="185">
        <v>129</v>
      </c>
      <c r="B131" s="172"/>
      <c r="C131" s="193"/>
      <c r="D131" s="324"/>
      <c r="E131" s="332" t="str">
        <f t="shared" si="9"/>
        <v/>
      </c>
      <c r="F131" s="170"/>
      <c r="G131" s="137"/>
      <c r="H131" s="339" t="str">
        <f t="shared" si="20"/>
        <v/>
      </c>
      <c r="I131" s="393"/>
      <c r="J131" s="169"/>
      <c r="K131" s="328"/>
      <c r="L131" s="330" t="str">
        <f t="shared" si="21"/>
        <v/>
      </c>
      <c r="M131" s="33"/>
      <c r="N131" s="168"/>
      <c r="O131" s="172"/>
      <c r="P131" s="183"/>
      <c r="Q131" s="183"/>
      <c r="R131" s="202"/>
      <c r="S131" s="34"/>
      <c r="T131" s="324"/>
      <c r="U131" s="327" t="str">
        <f t="shared" si="22"/>
        <v/>
      </c>
      <c r="V131" s="325"/>
      <c r="W131" s="320"/>
      <c r="X131" s="334"/>
      <c r="AB131" s="370">
        <v>129</v>
      </c>
      <c r="AC131" s="371">
        <f t="shared" si="23"/>
        <v>0</v>
      </c>
      <c r="AD131" s="371">
        <f t="shared" si="24"/>
        <v>0</v>
      </c>
      <c r="AE131" s="371">
        <f t="shared" si="25"/>
        <v>0</v>
      </c>
      <c r="AF131" s="371">
        <f t="shared" si="26"/>
        <v>0</v>
      </c>
      <c r="AG131" s="125" t="e">
        <f t="shared" si="27"/>
        <v>#N/A</v>
      </c>
    </row>
    <row r="132" spans="1:33" ht="15" customHeight="1" x14ac:dyDescent="0.35">
      <c r="A132" s="185">
        <v>130</v>
      </c>
      <c r="B132" s="172"/>
      <c r="C132" s="193"/>
      <c r="D132" s="324"/>
      <c r="E132" s="332" t="str">
        <f t="shared" si="9"/>
        <v/>
      </c>
      <c r="F132" s="170"/>
      <c r="G132" s="137"/>
      <c r="H132" s="339" t="str">
        <f t="shared" si="20"/>
        <v/>
      </c>
      <c r="I132" s="393"/>
      <c r="J132" s="169"/>
      <c r="K132" s="328"/>
      <c r="L132" s="330" t="str">
        <f t="shared" si="21"/>
        <v/>
      </c>
      <c r="M132" s="33"/>
      <c r="N132" s="168"/>
      <c r="O132" s="172"/>
      <c r="P132" s="183"/>
      <c r="Q132" s="183"/>
      <c r="R132" s="202"/>
      <c r="S132" s="34"/>
      <c r="T132" s="324"/>
      <c r="U132" s="327" t="str">
        <f t="shared" si="22"/>
        <v/>
      </c>
      <c r="V132" s="325"/>
      <c r="W132" s="320"/>
      <c r="X132" s="334"/>
      <c r="AB132" s="370">
        <v>130</v>
      </c>
      <c r="AC132" s="371">
        <f t="shared" si="23"/>
        <v>0</v>
      </c>
      <c r="AD132" s="371">
        <f t="shared" si="24"/>
        <v>0</v>
      </c>
      <c r="AE132" s="371">
        <f t="shared" si="25"/>
        <v>0</v>
      </c>
      <c r="AF132" s="371">
        <f t="shared" si="26"/>
        <v>0</v>
      </c>
      <c r="AG132" s="125" t="e">
        <f t="shared" si="27"/>
        <v>#N/A</v>
      </c>
    </row>
    <row r="133" spans="1:33" ht="15" customHeight="1" x14ac:dyDescent="0.35">
      <c r="A133" s="185">
        <v>131</v>
      </c>
      <c r="B133" s="172"/>
      <c r="C133" s="193"/>
      <c r="D133" s="324"/>
      <c r="E133" s="332" t="str">
        <f t="shared" si="9"/>
        <v/>
      </c>
      <c r="F133" s="170"/>
      <c r="G133" s="137"/>
      <c r="H133" s="339" t="str">
        <f t="shared" si="20"/>
        <v/>
      </c>
      <c r="I133" s="393"/>
      <c r="J133" s="169"/>
      <c r="K133" s="328"/>
      <c r="L133" s="330" t="str">
        <f t="shared" si="21"/>
        <v/>
      </c>
      <c r="M133" s="33"/>
      <c r="N133" s="168"/>
      <c r="O133" s="172"/>
      <c r="P133" s="183"/>
      <c r="Q133" s="183"/>
      <c r="R133" s="202"/>
      <c r="S133" s="34"/>
      <c r="T133" s="324"/>
      <c r="U133" s="327" t="str">
        <f t="shared" si="22"/>
        <v/>
      </c>
      <c r="V133" s="325"/>
      <c r="W133" s="320"/>
      <c r="X133" s="334"/>
      <c r="AB133" s="370">
        <v>131</v>
      </c>
      <c r="AC133" s="371">
        <f t="shared" si="23"/>
        <v>0</v>
      </c>
      <c r="AD133" s="371">
        <f t="shared" si="24"/>
        <v>0</v>
      </c>
      <c r="AE133" s="371">
        <f t="shared" si="25"/>
        <v>0</v>
      </c>
      <c r="AF133" s="371">
        <f t="shared" si="26"/>
        <v>0</v>
      </c>
      <c r="AG133" s="125" t="e">
        <f t="shared" si="27"/>
        <v>#N/A</v>
      </c>
    </row>
    <row r="134" spans="1:33" ht="15" customHeight="1" x14ac:dyDescent="0.35">
      <c r="A134" s="185">
        <v>132</v>
      </c>
      <c r="B134" s="172"/>
      <c r="C134" s="193"/>
      <c r="D134" s="324"/>
      <c r="E134" s="332" t="str">
        <f t="shared" si="9"/>
        <v/>
      </c>
      <c r="F134" s="170"/>
      <c r="G134" s="137"/>
      <c r="H134" s="339" t="str">
        <f t="shared" si="20"/>
        <v/>
      </c>
      <c r="I134" s="393"/>
      <c r="J134" s="169"/>
      <c r="K134" s="328"/>
      <c r="L134" s="330" t="str">
        <f t="shared" si="21"/>
        <v/>
      </c>
      <c r="M134" s="33"/>
      <c r="N134" s="168"/>
      <c r="O134" s="172"/>
      <c r="P134" s="183"/>
      <c r="Q134" s="183"/>
      <c r="R134" s="202"/>
      <c r="S134" s="34"/>
      <c r="T134" s="324"/>
      <c r="U134" s="327" t="str">
        <f t="shared" si="22"/>
        <v/>
      </c>
      <c r="V134" s="325"/>
      <c r="W134" s="320"/>
      <c r="X134" s="334"/>
      <c r="AB134" s="370">
        <v>132</v>
      </c>
      <c r="AC134" s="371">
        <f t="shared" si="23"/>
        <v>0</v>
      </c>
      <c r="AD134" s="371">
        <f t="shared" si="24"/>
        <v>0</v>
      </c>
      <c r="AE134" s="371">
        <f t="shared" si="25"/>
        <v>0</v>
      </c>
      <c r="AF134" s="371">
        <f t="shared" si="26"/>
        <v>0</v>
      </c>
      <c r="AG134" s="125" t="e">
        <f t="shared" si="27"/>
        <v>#N/A</v>
      </c>
    </row>
    <row r="135" spans="1:33" ht="15" customHeight="1" x14ac:dyDescent="0.35">
      <c r="A135" s="185">
        <v>133</v>
      </c>
      <c r="B135" s="172"/>
      <c r="C135" s="193"/>
      <c r="D135" s="324"/>
      <c r="E135" s="332" t="str">
        <f t="shared" si="9"/>
        <v/>
      </c>
      <c r="F135" s="170"/>
      <c r="G135" s="137"/>
      <c r="H135" s="339" t="str">
        <f t="shared" si="20"/>
        <v/>
      </c>
      <c r="I135" s="393"/>
      <c r="J135" s="169"/>
      <c r="K135" s="328"/>
      <c r="L135" s="330" t="str">
        <f t="shared" si="21"/>
        <v/>
      </c>
      <c r="M135" s="33"/>
      <c r="N135" s="168"/>
      <c r="O135" s="172"/>
      <c r="P135" s="183"/>
      <c r="Q135" s="183"/>
      <c r="R135" s="202"/>
      <c r="S135" s="34"/>
      <c r="T135" s="324"/>
      <c r="U135" s="327" t="str">
        <f t="shared" si="22"/>
        <v/>
      </c>
      <c r="V135" s="325"/>
      <c r="W135" s="320"/>
      <c r="X135" s="334"/>
      <c r="AB135" s="370">
        <v>133</v>
      </c>
      <c r="AC135" s="371">
        <f t="shared" si="23"/>
        <v>0</v>
      </c>
      <c r="AD135" s="371">
        <f t="shared" si="24"/>
        <v>0</v>
      </c>
      <c r="AE135" s="371">
        <f t="shared" si="25"/>
        <v>0</v>
      </c>
      <c r="AF135" s="371">
        <f t="shared" si="26"/>
        <v>0</v>
      </c>
      <c r="AG135" s="125" t="e">
        <f t="shared" si="27"/>
        <v>#N/A</v>
      </c>
    </row>
    <row r="136" spans="1:33" ht="15" customHeight="1" x14ac:dyDescent="0.35">
      <c r="A136" s="185">
        <v>134</v>
      </c>
      <c r="B136" s="172"/>
      <c r="C136" s="193"/>
      <c r="D136" s="324"/>
      <c r="E136" s="332" t="str">
        <f t="shared" si="9"/>
        <v/>
      </c>
      <c r="F136" s="170"/>
      <c r="G136" s="137"/>
      <c r="H136" s="339" t="str">
        <f t="shared" si="20"/>
        <v/>
      </c>
      <c r="I136" s="393"/>
      <c r="J136" s="169"/>
      <c r="K136" s="328"/>
      <c r="L136" s="330" t="str">
        <f t="shared" si="21"/>
        <v/>
      </c>
      <c r="M136" s="33"/>
      <c r="N136" s="168"/>
      <c r="O136" s="172"/>
      <c r="P136" s="183"/>
      <c r="Q136" s="183"/>
      <c r="R136" s="202"/>
      <c r="S136" s="34"/>
      <c r="T136" s="324"/>
      <c r="U136" s="327" t="str">
        <f t="shared" si="22"/>
        <v/>
      </c>
      <c r="V136" s="325"/>
      <c r="W136" s="320"/>
      <c r="X136" s="334"/>
      <c r="AB136" s="370">
        <v>134</v>
      </c>
      <c r="AC136" s="371">
        <f t="shared" si="23"/>
        <v>0</v>
      </c>
      <c r="AD136" s="371">
        <f t="shared" si="24"/>
        <v>0</v>
      </c>
      <c r="AE136" s="371">
        <f t="shared" si="25"/>
        <v>0</v>
      </c>
      <c r="AF136" s="371">
        <f t="shared" si="26"/>
        <v>0</v>
      </c>
      <c r="AG136" s="125" t="e">
        <f t="shared" si="27"/>
        <v>#N/A</v>
      </c>
    </row>
    <row r="137" spans="1:33" ht="15" customHeight="1" x14ac:dyDescent="0.35">
      <c r="A137" s="185">
        <v>135</v>
      </c>
      <c r="B137" s="172"/>
      <c r="C137" s="193"/>
      <c r="D137" s="324"/>
      <c r="E137" s="332" t="str">
        <f t="shared" si="9"/>
        <v/>
      </c>
      <c r="F137" s="170"/>
      <c r="G137" s="137"/>
      <c r="H137" s="339" t="str">
        <f t="shared" si="20"/>
        <v/>
      </c>
      <c r="I137" s="393"/>
      <c r="J137" s="169"/>
      <c r="K137" s="328"/>
      <c r="L137" s="330" t="str">
        <f t="shared" si="21"/>
        <v/>
      </c>
      <c r="M137" s="33"/>
      <c r="N137" s="168"/>
      <c r="O137" s="172"/>
      <c r="P137" s="183"/>
      <c r="Q137" s="183"/>
      <c r="R137" s="202"/>
      <c r="S137" s="34"/>
      <c r="T137" s="324"/>
      <c r="U137" s="327" t="str">
        <f t="shared" si="22"/>
        <v/>
      </c>
      <c r="V137" s="325"/>
      <c r="W137" s="320"/>
      <c r="X137" s="334"/>
      <c r="AB137" s="370">
        <v>135</v>
      </c>
      <c r="AC137" s="371">
        <f t="shared" si="23"/>
        <v>0</v>
      </c>
      <c r="AD137" s="371">
        <f t="shared" si="24"/>
        <v>0</v>
      </c>
      <c r="AE137" s="371">
        <f t="shared" si="25"/>
        <v>0</v>
      </c>
      <c r="AF137" s="371">
        <f t="shared" si="26"/>
        <v>0</v>
      </c>
      <c r="AG137" s="125" t="e">
        <f t="shared" si="27"/>
        <v>#N/A</v>
      </c>
    </row>
    <row r="138" spans="1:33" ht="15" customHeight="1" x14ac:dyDescent="0.35">
      <c r="A138" s="185">
        <v>136</v>
      </c>
      <c r="B138" s="172"/>
      <c r="C138" s="193"/>
      <c r="D138" s="324"/>
      <c r="E138" s="332" t="str">
        <f t="shared" si="9"/>
        <v/>
      </c>
      <c r="F138" s="170"/>
      <c r="G138" s="137"/>
      <c r="H138" s="339" t="str">
        <f t="shared" si="20"/>
        <v/>
      </c>
      <c r="I138" s="393"/>
      <c r="J138" s="169"/>
      <c r="K138" s="328"/>
      <c r="L138" s="330" t="str">
        <f t="shared" si="21"/>
        <v/>
      </c>
      <c r="M138" s="33"/>
      <c r="N138" s="168"/>
      <c r="O138" s="172"/>
      <c r="P138" s="183"/>
      <c r="Q138" s="183"/>
      <c r="R138" s="202"/>
      <c r="S138" s="34"/>
      <c r="T138" s="324"/>
      <c r="U138" s="327" t="str">
        <f t="shared" si="22"/>
        <v/>
      </c>
      <c r="V138" s="325"/>
      <c r="W138" s="320"/>
      <c r="X138" s="334"/>
      <c r="AB138" s="370">
        <v>136</v>
      </c>
      <c r="AC138" s="371">
        <f t="shared" si="23"/>
        <v>0</v>
      </c>
      <c r="AD138" s="371">
        <f t="shared" si="24"/>
        <v>0</v>
      </c>
      <c r="AE138" s="371">
        <f t="shared" si="25"/>
        <v>0</v>
      </c>
      <c r="AF138" s="371">
        <f t="shared" si="26"/>
        <v>0</v>
      </c>
      <c r="AG138" s="125" t="e">
        <f t="shared" si="27"/>
        <v>#N/A</v>
      </c>
    </row>
    <row r="139" spans="1:33" ht="15" customHeight="1" x14ac:dyDescent="0.35">
      <c r="A139" s="185">
        <v>137</v>
      </c>
      <c r="B139" s="172"/>
      <c r="C139" s="193"/>
      <c r="D139" s="324"/>
      <c r="E139" s="332" t="str">
        <f t="shared" si="9"/>
        <v/>
      </c>
      <c r="F139" s="170"/>
      <c r="G139" s="137"/>
      <c r="H139" s="339" t="str">
        <f t="shared" si="20"/>
        <v/>
      </c>
      <c r="I139" s="393"/>
      <c r="J139" s="169"/>
      <c r="K139" s="328"/>
      <c r="L139" s="330" t="str">
        <f t="shared" si="21"/>
        <v/>
      </c>
      <c r="M139" s="33"/>
      <c r="N139" s="168"/>
      <c r="O139" s="172"/>
      <c r="P139" s="183"/>
      <c r="Q139" s="183"/>
      <c r="R139" s="202"/>
      <c r="S139" s="34"/>
      <c r="T139" s="324"/>
      <c r="U139" s="327" t="str">
        <f t="shared" si="22"/>
        <v/>
      </c>
      <c r="V139" s="325"/>
      <c r="W139" s="320"/>
      <c r="X139" s="334"/>
      <c r="AB139" s="370">
        <v>137</v>
      </c>
      <c r="AC139" s="371">
        <f t="shared" si="23"/>
        <v>0</v>
      </c>
      <c r="AD139" s="371">
        <f t="shared" si="24"/>
        <v>0</v>
      </c>
      <c r="AE139" s="371">
        <f t="shared" si="25"/>
        <v>0</v>
      </c>
      <c r="AF139" s="371">
        <f t="shared" si="26"/>
        <v>0</v>
      </c>
      <c r="AG139" s="125" t="e">
        <f t="shared" si="27"/>
        <v>#N/A</v>
      </c>
    </row>
    <row r="140" spans="1:33" ht="15" customHeight="1" x14ac:dyDescent="0.35">
      <c r="A140" s="185">
        <v>138</v>
      </c>
      <c r="B140" s="172"/>
      <c r="C140" s="193"/>
      <c r="D140" s="324"/>
      <c r="E140" s="332" t="str">
        <f t="shared" si="9"/>
        <v/>
      </c>
      <c r="F140" s="170"/>
      <c r="G140" s="137"/>
      <c r="H140" s="339" t="str">
        <f t="shared" si="20"/>
        <v/>
      </c>
      <c r="I140" s="393"/>
      <c r="J140" s="169"/>
      <c r="K140" s="328"/>
      <c r="L140" s="330" t="str">
        <f t="shared" si="21"/>
        <v/>
      </c>
      <c r="M140" s="33"/>
      <c r="N140" s="168"/>
      <c r="O140" s="172"/>
      <c r="P140" s="183"/>
      <c r="Q140" s="183"/>
      <c r="R140" s="202"/>
      <c r="S140" s="34"/>
      <c r="T140" s="324"/>
      <c r="U140" s="327" t="str">
        <f t="shared" si="22"/>
        <v/>
      </c>
      <c r="V140" s="325"/>
      <c r="W140" s="320"/>
      <c r="X140" s="334"/>
      <c r="AB140" s="370">
        <v>138</v>
      </c>
      <c r="AC140" s="371">
        <f t="shared" si="23"/>
        <v>0</v>
      </c>
      <c r="AD140" s="371">
        <f t="shared" si="24"/>
        <v>0</v>
      </c>
      <c r="AE140" s="371">
        <f t="shared" si="25"/>
        <v>0</v>
      </c>
      <c r="AF140" s="371">
        <f t="shared" si="26"/>
        <v>0</v>
      </c>
      <c r="AG140" s="125" t="e">
        <f t="shared" si="27"/>
        <v>#N/A</v>
      </c>
    </row>
    <row r="141" spans="1:33" ht="15" customHeight="1" x14ac:dyDescent="0.35">
      <c r="A141" s="185">
        <v>139</v>
      </c>
      <c r="B141" s="172"/>
      <c r="C141" s="193"/>
      <c r="D141" s="324"/>
      <c r="E141" s="332" t="str">
        <f t="shared" si="9"/>
        <v/>
      </c>
      <c r="F141" s="170"/>
      <c r="G141" s="137"/>
      <c r="H141" s="339" t="str">
        <f t="shared" si="20"/>
        <v/>
      </c>
      <c r="I141" s="393"/>
      <c r="J141" s="169"/>
      <c r="K141" s="328"/>
      <c r="L141" s="330" t="str">
        <f t="shared" si="21"/>
        <v/>
      </c>
      <c r="M141" s="33"/>
      <c r="N141" s="168"/>
      <c r="O141" s="172"/>
      <c r="P141" s="183"/>
      <c r="Q141" s="183"/>
      <c r="R141" s="202"/>
      <c r="S141" s="34"/>
      <c r="T141" s="324"/>
      <c r="U141" s="327" t="str">
        <f t="shared" si="22"/>
        <v/>
      </c>
      <c r="V141" s="325"/>
      <c r="W141" s="320"/>
      <c r="X141" s="334"/>
      <c r="AB141" s="370">
        <v>139</v>
      </c>
      <c r="AC141" s="371">
        <f t="shared" si="23"/>
        <v>0</v>
      </c>
      <c r="AD141" s="371">
        <f t="shared" si="24"/>
        <v>0</v>
      </c>
      <c r="AE141" s="371">
        <f t="shared" si="25"/>
        <v>0</v>
      </c>
      <c r="AF141" s="371">
        <f t="shared" si="26"/>
        <v>0</v>
      </c>
      <c r="AG141" s="125" t="e">
        <f t="shared" si="27"/>
        <v>#N/A</v>
      </c>
    </row>
    <row r="142" spans="1:33" ht="15" customHeight="1" x14ac:dyDescent="0.35">
      <c r="A142" s="185">
        <v>140</v>
      </c>
      <c r="B142" s="172"/>
      <c r="C142" s="193"/>
      <c r="D142" s="324"/>
      <c r="E142" s="332" t="str">
        <f t="shared" si="9"/>
        <v/>
      </c>
      <c r="F142" s="170"/>
      <c r="G142" s="137"/>
      <c r="H142" s="339" t="str">
        <f t="shared" si="20"/>
        <v/>
      </c>
      <c r="I142" s="393"/>
      <c r="J142" s="169"/>
      <c r="K142" s="328"/>
      <c r="L142" s="330" t="str">
        <f t="shared" si="21"/>
        <v/>
      </c>
      <c r="M142" s="33"/>
      <c r="N142" s="168"/>
      <c r="O142" s="172"/>
      <c r="P142" s="183"/>
      <c r="Q142" s="183"/>
      <c r="R142" s="202"/>
      <c r="S142" s="34"/>
      <c r="T142" s="324"/>
      <c r="U142" s="327" t="str">
        <f t="shared" si="22"/>
        <v/>
      </c>
      <c r="V142" s="325"/>
      <c r="W142" s="320"/>
      <c r="X142" s="334"/>
      <c r="AB142" s="370">
        <v>140</v>
      </c>
      <c r="AC142" s="371">
        <f t="shared" si="23"/>
        <v>0</v>
      </c>
      <c r="AD142" s="371">
        <f t="shared" si="24"/>
        <v>0</v>
      </c>
      <c r="AE142" s="371">
        <f t="shared" si="25"/>
        <v>0</v>
      </c>
      <c r="AF142" s="371">
        <f t="shared" si="26"/>
        <v>0</v>
      </c>
      <c r="AG142" s="125" t="e">
        <f t="shared" si="27"/>
        <v>#N/A</v>
      </c>
    </row>
    <row r="143" spans="1:33" ht="15" customHeight="1" x14ac:dyDescent="0.35">
      <c r="A143" s="185">
        <v>141</v>
      </c>
      <c r="B143" s="172"/>
      <c r="C143" s="193"/>
      <c r="D143" s="324"/>
      <c r="E143" s="332" t="str">
        <f t="shared" si="9"/>
        <v/>
      </c>
      <c r="F143" s="170"/>
      <c r="G143" s="137"/>
      <c r="H143" s="339" t="str">
        <f t="shared" si="20"/>
        <v/>
      </c>
      <c r="I143" s="393"/>
      <c r="J143" s="169"/>
      <c r="K143" s="328"/>
      <c r="L143" s="330" t="str">
        <f t="shared" si="21"/>
        <v/>
      </c>
      <c r="M143" s="33"/>
      <c r="N143" s="168"/>
      <c r="O143" s="172"/>
      <c r="P143" s="183"/>
      <c r="Q143" s="183"/>
      <c r="R143" s="202"/>
      <c r="S143" s="34"/>
      <c r="T143" s="324"/>
      <c r="U143" s="327" t="str">
        <f t="shared" si="22"/>
        <v/>
      </c>
      <c r="V143" s="325"/>
      <c r="W143" s="320"/>
      <c r="X143" s="334"/>
      <c r="AB143" s="370">
        <v>141</v>
      </c>
      <c r="AC143" s="371">
        <f t="shared" si="23"/>
        <v>0</v>
      </c>
      <c r="AD143" s="371">
        <f t="shared" si="24"/>
        <v>0</v>
      </c>
      <c r="AE143" s="371">
        <f t="shared" si="25"/>
        <v>0</v>
      </c>
      <c r="AF143" s="371">
        <f t="shared" si="26"/>
        <v>0</v>
      </c>
      <c r="AG143" s="125" t="e">
        <f t="shared" si="27"/>
        <v>#N/A</v>
      </c>
    </row>
    <row r="144" spans="1:33" ht="15" customHeight="1" x14ac:dyDescent="0.35">
      <c r="A144" s="185">
        <v>142</v>
      </c>
      <c r="B144" s="172"/>
      <c r="C144" s="193"/>
      <c r="D144" s="324"/>
      <c r="E144" s="332" t="str">
        <f t="shared" si="9"/>
        <v/>
      </c>
      <c r="F144" s="170"/>
      <c r="G144" s="137"/>
      <c r="H144" s="339" t="str">
        <f t="shared" si="20"/>
        <v/>
      </c>
      <c r="I144" s="393"/>
      <c r="J144" s="169"/>
      <c r="K144" s="328"/>
      <c r="L144" s="330" t="str">
        <f t="shared" si="21"/>
        <v/>
      </c>
      <c r="M144" s="33"/>
      <c r="N144" s="168"/>
      <c r="O144" s="172"/>
      <c r="P144" s="183"/>
      <c r="Q144" s="183"/>
      <c r="R144" s="202"/>
      <c r="S144" s="34"/>
      <c r="T144" s="324"/>
      <c r="U144" s="327" t="str">
        <f t="shared" si="22"/>
        <v/>
      </c>
      <c r="V144" s="325"/>
      <c r="W144" s="320"/>
      <c r="X144" s="334"/>
      <c r="AB144" s="370">
        <v>142</v>
      </c>
      <c r="AC144" s="371">
        <f t="shared" si="23"/>
        <v>0</v>
      </c>
      <c r="AD144" s="371">
        <f t="shared" si="24"/>
        <v>0</v>
      </c>
      <c r="AE144" s="371">
        <f t="shared" si="25"/>
        <v>0</v>
      </c>
      <c r="AF144" s="371">
        <f t="shared" si="26"/>
        <v>0</v>
      </c>
      <c r="AG144" s="125" t="e">
        <f t="shared" si="27"/>
        <v>#N/A</v>
      </c>
    </row>
    <row r="145" spans="1:33" ht="15" customHeight="1" x14ac:dyDescent="0.35">
      <c r="A145" s="185">
        <v>143</v>
      </c>
      <c r="B145" s="172"/>
      <c r="C145" s="193"/>
      <c r="D145" s="324"/>
      <c r="E145" s="332" t="str">
        <f t="shared" si="9"/>
        <v/>
      </c>
      <c r="F145" s="170"/>
      <c r="G145" s="137"/>
      <c r="H145" s="339" t="str">
        <f t="shared" si="20"/>
        <v/>
      </c>
      <c r="I145" s="393"/>
      <c r="J145" s="169"/>
      <c r="K145" s="328"/>
      <c r="L145" s="330" t="str">
        <f t="shared" si="21"/>
        <v/>
      </c>
      <c r="M145" s="33"/>
      <c r="N145" s="168"/>
      <c r="O145" s="172"/>
      <c r="P145" s="183"/>
      <c r="Q145" s="183"/>
      <c r="R145" s="202"/>
      <c r="S145" s="34"/>
      <c r="T145" s="324"/>
      <c r="U145" s="327" t="str">
        <f t="shared" si="22"/>
        <v/>
      </c>
      <c r="V145" s="325"/>
      <c r="W145" s="320"/>
      <c r="X145" s="334"/>
      <c r="AB145" s="370">
        <v>143</v>
      </c>
      <c r="AC145" s="371">
        <f t="shared" si="23"/>
        <v>0</v>
      </c>
      <c r="AD145" s="371">
        <f t="shared" si="24"/>
        <v>0</v>
      </c>
      <c r="AE145" s="371">
        <f t="shared" si="25"/>
        <v>0</v>
      </c>
      <c r="AF145" s="371">
        <f t="shared" si="26"/>
        <v>0</v>
      </c>
      <c r="AG145" s="125" t="e">
        <f t="shared" si="27"/>
        <v>#N/A</v>
      </c>
    </row>
    <row r="146" spans="1:33" ht="15" customHeight="1" x14ac:dyDescent="0.35">
      <c r="A146" s="185">
        <v>144</v>
      </c>
      <c r="B146" s="172"/>
      <c r="C146" s="193"/>
      <c r="D146" s="324"/>
      <c r="E146" s="332" t="str">
        <f t="shared" si="9"/>
        <v/>
      </c>
      <c r="F146" s="170"/>
      <c r="G146" s="137"/>
      <c r="H146" s="339" t="str">
        <f t="shared" si="20"/>
        <v/>
      </c>
      <c r="I146" s="393"/>
      <c r="J146" s="169"/>
      <c r="K146" s="328"/>
      <c r="L146" s="330" t="str">
        <f t="shared" si="21"/>
        <v/>
      </c>
      <c r="M146" s="33"/>
      <c r="N146" s="168"/>
      <c r="O146" s="172"/>
      <c r="P146" s="183"/>
      <c r="Q146" s="183"/>
      <c r="R146" s="202"/>
      <c r="S146" s="34"/>
      <c r="T146" s="324"/>
      <c r="U146" s="327" t="str">
        <f t="shared" si="22"/>
        <v/>
      </c>
      <c r="V146" s="325"/>
      <c r="W146" s="320"/>
      <c r="X146" s="334"/>
      <c r="AB146" s="370">
        <v>144</v>
      </c>
      <c r="AC146" s="371">
        <f t="shared" si="23"/>
        <v>0</v>
      </c>
      <c r="AD146" s="371">
        <f t="shared" si="24"/>
        <v>0</v>
      </c>
      <c r="AE146" s="371">
        <f t="shared" si="25"/>
        <v>0</v>
      </c>
      <c r="AF146" s="371">
        <f t="shared" si="26"/>
        <v>0</v>
      </c>
      <c r="AG146" s="125" t="e">
        <f t="shared" si="27"/>
        <v>#N/A</v>
      </c>
    </row>
    <row r="147" spans="1:33" ht="15" customHeight="1" x14ac:dyDescent="0.35">
      <c r="A147" s="185">
        <v>145</v>
      </c>
      <c r="B147" s="172"/>
      <c r="C147" s="193"/>
      <c r="D147" s="324"/>
      <c r="E147" s="332" t="str">
        <f t="shared" si="9"/>
        <v/>
      </c>
      <c r="F147" s="170"/>
      <c r="G147" s="137"/>
      <c r="H147" s="339" t="str">
        <f t="shared" si="20"/>
        <v/>
      </c>
      <c r="I147" s="393"/>
      <c r="J147" s="169"/>
      <c r="K147" s="328"/>
      <c r="L147" s="330" t="str">
        <f t="shared" si="21"/>
        <v/>
      </c>
      <c r="M147" s="33"/>
      <c r="N147" s="168"/>
      <c r="O147" s="172"/>
      <c r="P147" s="183"/>
      <c r="Q147" s="183"/>
      <c r="R147" s="202"/>
      <c r="S147" s="34"/>
      <c r="T147" s="324"/>
      <c r="U147" s="327" t="str">
        <f t="shared" si="22"/>
        <v/>
      </c>
      <c r="V147" s="325"/>
      <c r="W147" s="320"/>
      <c r="X147" s="334"/>
      <c r="AB147" s="370">
        <v>145</v>
      </c>
      <c r="AC147" s="371">
        <f t="shared" si="23"/>
        <v>0</v>
      </c>
      <c r="AD147" s="371">
        <f t="shared" si="24"/>
        <v>0</v>
      </c>
      <c r="AE147" s="371">
        <f t="shared" si="25"/>
        <v>0</v>
      </c>
      <c r="AF147" s="371">
        <f t="shared" si="26"/>
        <v>0</v>
      </c>
      <c r="AG147" s="125" t="e">
        <f t="shared" si="27"/>
        <v>#N/A</v>
      </c>
    </row>
    <row r="148" spans="1:33" ht="15" customHeight="1" x14ac:dyDescent="0.35">
      <c r="A148" s="185">
        <v>146</v>
      </c>
      <c r="B148" s="172"/>
      <c r="C148" s="193"/>
      <c r="D148" s="324"/>
      <c r="E148" s="332" t="str">
        <f t="shared" si="9"/>
        <v/>
      </c>
      <c r="F148" s="170"/>
      <c r="G148" s="137"/>
      <c r="H148" s="339" t="str">
        <f t="shared" si="20"/>
        <v/>
      </c>
      <c r="I148" s="393"/>
      <c r="J148" s="169"/>
      <c r="K148" s="328"/>
      <c r="L148" s="330" t="str">
        <f t="shared" si="21"/>
        <v/>
      </c>
      <c r="M148" s="33"/>
      <c r="N148" s="168"/>
      <c r="O148" s="172"/>
      <c r="P148" s="183"/>
      <c r="Q148" s="183"/>
      <c r="R148" s="202"/>
      <c r="S148" s="34"/>
      <c r="T148" s="324"/>
      <c r="U148" s="327" t="str">
        <f t="shared" si="22"/>
        <v/>
      </c>
      <c r="V148" s="325"/>
      <c r="W148" s="320"/>
      <c r="X148" s="334"/>
      <c r="AB148" s="370">
        <v>146</v>
      </c>
      <c r="AC148" s="371">
        <f t="shared" si="23"/>
        <v>0</v>
      </c>
      <c r="AD148" s="371">
        <f t="shared" si="24"/>
        <v>0</v>
      </c>
      <c r="AE148" s="371">
        <f t="shared" si="25"/>
        <v>0</v>
      </c>
      <c r="AF148" s="371">
        <f t="shared" si="26"/>
        <v>0</v>
      </c>
      <c r="AG148" s="125" t="e">
        <f t="shared" si="27"/>
        <v>#N/A</v>
      </c>
    </row>
    <row r="149" spans="1:33" ht="15" customHeight="1" x14ac:dyDescent="0.35">
      <c r="A149" s="185">
        <v>147</v>
      </c>
      <c r="B149" s="172"/>
      <c r="C149" s="193"/>
      <c r="D149" s="324"/>
      <c r="E149" s="332" t="str">
        <f t="shared" si="9"/>
        <v/>
      </c>
      <c r="F149" s="170"/>
      <c r="G149" s="137"/>
      <c r="H149" s="339" t="str">
        <f t="shared" si="20"/>
        <v/>
      </c>
      <c r="I149" s="393"/>
      <c r="J149" s="169"/>
      <c r="K149" s="328"/>
      <c r="L149" s="330" t="str">
        <f t="shared" si="21"/>
        <v/>
      </c>
      <c r="M149" s="33"/>
      <c r="N149" s="168"/>
      <c r="O149" s="172"/>
      <c r="P149" s="183"/>
      <c r="Q149" s="183"/>
      <c r="R149" s="202"/>
      <c r="S149" s="34"/>
      <c r="T149" s="324"/>
      <c r="U149" s="327" t="str">
        <f t="shared" si="22"/>
        <v/>
      </c>
      <c r="V149" s="325"/>
      <c r="W149" s="320"/>
      <c r="X149" s="334"/>
      <c r="AB149" s="370">
        <v>147</v>
      </c>
      <c r="AC149" s="371">
        <f t="shared" si="23"/>
        <v>0</v>
      </c>
      <c r="AD149" s="371">
        <f t="shared" si="24"/>
        <v>0</v>
      </c>
      <c r="AE149" s="371">
        <f t="shared" si="25"/>
        <v>0</v>
      </c>
      <c r="AF149" s="371">
        <f t="shared" si="26"/>
        <v>0</v>
      </c>
      <c r="AG149" s="125" t="e">
        <f t="shared" si="27"/>
        <v>#N/A</v>
      </c>
    </row>
    <row r="150" spans="1:33" ht="15" customHeight="1" x14ac:dyDescent="0.35">
      <c r="A150" s="185">
        <v>148</v>
      </c>
      <c r="B150" s="172"/>
      <c r="C150" s="193"/>
      <c r="D150" s="324"/>
      <c r="E150" s="332" t="str">
        <f t="shared" si="9"/>
        <v/>
      </c>
      <c r="F150" s="170"/>
      <c r="G150" s="137"/>
      <c r="H150" s="339" t="str">
        <f t="shared" si="20"/>
        <v/>
      </c>
      <c r="I150" s="393"/>
      <c r="J150" s="169"/>
      <c r="K150" s="328"/>
      <c r="L150" s="330" t="str">
        <f t="shared" si="21"/>
        <v/>
      </c>
      <c r="M150" s="33"/>
      <c r="N150" s="168"/>
      <c r="O150" s="172"/>
      <c r="P150" s="183"/>
      <c r="Q150" s="183"/>
      <c r="R150" s="202"/>
      <c r="S150" s="34"/>
      <c r="T150" s="324"/>
      <c r="U150" s="327" t="str">
        <f t="shared" si="22"/>
        <v/>
      </c>
      <c r="V150" s="325"/>
      <c r="W150" s="320"/>
      <c r="X150" s="334"/>
      <c r="AB150" s="370">
        <v>148</v>
      </c>
      <c r="AC150" s="371">
        <f t="shared" si="23"/>
        <v>0</v>
      </c>
      <c r="AD150" s="371">
        <f t="shared" si="24"/>
        <v>0</v>
      </c>
      <c r="AE150" s="371">
        <f t="shared" si="25"/>
        <v>0</v>
      </c>
      <c r="AF150" s="371">
        <f t="shared" si="26"/>
        <v>0</v>
      </c>
      <c r="AG150" s="125" t="e">
        <f t="shared" si="27"/>
        <v>#N/A</v>
      </c>
    </row>
    <row r="151" spans="1:33" ht="15" customHeight="1" x14ac:dyDescent="0.35">
      <c r="A151" s="185">
        <v>149</v>
      </c>
      <c r="B151" s="172"/>
      <c r="C151" s="193"/>
      <c r="D151" s="324"/>
      <c r="E151" s="332" t="str">
        <f t="shared" si="9"/>
        <v/>
      </c>
      <c r="F151" s="170"/>
      <c r="G151" s="137"/>
      <c r="H151" s="339" t="str">
        <f t="shared" si="20"/>
        <v/>
      </c>
      <c r="I151" s="393"/>
      <c r="J151" s="169"/>
      <c r="K151" s="328"/>
      <c r="L151" s="330" t="str">
        <f t="shared" si="21"/>
        <v/>
      </c>
      <c r="M151" s="33"/>
      <c r="N151" s="168"/>
      <c r="O151" s="172"/>
      <c r="P151" s="183"/>
      <c r="Q151" s="183"/>
      <c r="R151" s="202"/>
      <c r="S151" s="34"/>
      <c r="T151" s="324"/>
      <c r="U151" s="327" t="str">
        <f t="shared" si="22"/>
        <v/>
      </c>
      <c r="V151" s="325"/>
      <c r="W151" s="320"/>
      <c r="X151" s="334"/>
      <c r="AB151" s="370">
        <v>149</v>
      </c>
      <c r="AC151" s="371">
        <f t="shared" si="23"/>
        <v>0</v>
      </c>
      <c r="AD151" s="371">
        <f t="shared" si="24"/>
        <v>0</v>
      </c>
      <c r="AE151" s="371">
        <f t="shared" si="25"/>
        <v>0</v>
      </c>
      <c r="AF151" s="371">
        <f t="shared" si="26"/>
        <v>0</v>
      </c>
      <c r="AG151" s="125" t="e">
        <f t="shared" si="27"/>
        <v>#N/A</v>
      </c>
    </row>
    <row r="152" spans="1:33" ht="15" customHeight="1" x14ac:dyDescent="0.35">
      <c r="A152" s="185">
        <v>150</v>
      </c>
      <c r="B152" s="172"/>
      <c r="C152" s="193"/>
      <c r="D152" s="324"/>
      <c r="E152" s="332" t="str">
        <f t="shared" si="9"/>
        <v/>
      </c>
      <c r="F152" s="170"/>
      <c r="G152" s="137"/>
      <c r="H152" s="339" t="str">
        <f t="shared" si="20"/>
        <v/>
      </c>
      <c r="I152" s="393"/>
      <c r="J152" s="169"/>
      <c r="K152" s="328"/>
      <c r="L152" s="330" t="str">
        <f t="shared" si="21"/>
        <v/>
      </c>
      <c r="M152" s="33"/>
      <c r="N152" s="168"/>
      <c r="O152" s="172"/>
      <c r="P152" s="183"/>
      <c r="Q152" s="183"/>
      <c r="R152" s="202"/>
      <c r="S152" s="34"/>
      <c r="T152" s="324"/>
      <c r="U152" s="327" t="str">
        <f t="shared" si="22"/>
        <v/>
      </c>
      <c r="V152" s="325"/>
      <c r="W152" s="320"/>
      <c r="X152" s="334"/>
      <c r="AB152" s="370">
        <v>150</v>
      </c>
      <c r="AC152" s="371">
        <f t="shared" si="23"/>
        <v>0</v>
      </c>
      <c r="AD152" s="371">
        <f t="shared" si="24"/>
        <v>0</v>
      </c>
      <c r="AE152" s="371">
        <f t="shared" si="25"/>
        <v>0</v>
      </c>
      <c r="AF152" s="371">
        <f t="shared" si="26"/>
        <v>0</v>
      </c>
      <c r="AG152" s="125" t="e">
        <f t="shared" si="27"/>
        <v>#N/A</v>
      </c>
    </row>
    <row r="153" spans="1:33" ht="15" customHeight="1" x14ac:dyDescent="0.35">
      <c r="A153" s="185">
        <v>151</v>
      </c>
      <c r="B153" s="172"/>
      <c r="C153" s="193"/>
      <c r="D153" s="324"/>
      <c r="E153" s="332" t="str">
        <f t="shared" si="9"/>
        <v/>
      </c>
      <c r="F153" s="170"/>
      <c r="G153" s="137"/>
      <c r="H153" s="339" t="str">
        <f t="shared" si="20"/>
        <v/>
      </c>
      <c r="I153" s="393"/>
      <c r="J153" s="169"/>
      <c r="K153" s="328"/>
      <c r="L153" s="330" t="str">
        <f t="shared" si="21"/>
        <v/>
      </c>
      <c r="M153" s="33"/>
      <c r="N153" s="168"/>
      <c r="O153" s="172"/>
      <c r="P153" s="183"/>
      <c r="Q153" s="183"/>
      <c r="R153" s="202"/>
      <c r="S153" s="34"/>
      <c r="T153" s="324"/>
      <c r="U153" s="327" t="str">
        <f t="shared" si="22"/>
        <v/>
      </c>
      <c r="V153" s="325"/>
      <c r="W153" s="320"/>
      <c r="X153" s="334"/>
      <c r="AB153" s="370">
        <v>151</v>
      </c>
      <c r="AC153" s="371">
        <f t="shared" si="23"/>
        <v>0</v>
      </c>
      <c r="AD153" s="371">
        <f t="shared" si="24"/>
        <v>0</v>
      </c>
      <c r="AE153" s="371">
        <f t="shared" si="25"/>
        <v>0</v>
      </c>
      <c r="AF153" s="371">
        <f t="shared" si="26"/>
        <v>0</v>
      </c>
      <c r="AG153" s="125" t="e">
        <f t="shared" si="27"/>
        <v>#N/A</v>
      </c>
    </row>
    <row r="154" spans="1:33" ht="15" customHeight="1" x14ac:dyDescent="0.35">
      <c r="A154" s="185">
        <v>152</v>
      </c>
      <c r="B154" s="172"/>
      <c r="C154" s="193"/>
      <c r="D154" s="324"/>
      <c r="E154" s="332" t="str">
        <f t="shared" si="9"/>
        <v/>
      </c>
      <c r="F154" s="170"/>
      <c r="G154" s="137"/>
      <c r="H154" s="339" t="str">
        <f t="shared" si="20"/>
        <v/>
      </c>
      <c r="I154" s="393"/>
      <c r="J154" s="169"/>
      <c r="K154" s="328"/>
      <c r="L154" s="330" t="str">
        <f t="shared" si="21"/>
        <v/>
      </c>
      <c r="M154" s="33"/>
      <c r="N154" s="168"/>
      <c r="O154" s="172"/>
      <c r="P154" s="183"/>
      <c r="Q154" s="183"/>
      <c r="R154" s="202"/>
      <c r="S154" s="34"/>
      <c r="T154" s="324"/>
      <c r="U154" s="327" t="str">
        <f t="shared" si="22"/>
        <v/>
      </c>
      <c r="V154" s="325"/>
      <c r="W154" s="320"/>
      <c r="X154" s="334"/>
      <c r="AB154" s="370">
        <v>152</v>
      </c>
      <c r="AC154" s="371">
        <f t="shared" si="23"/>
        <v>0</v>
      </c>
      <c r="AD154" s="371">
        <f t="shared" si="24"/>
        <v>0</v>
      </c>
      <c r="AE154" s="371">
        <f t="shared" si="25"/>
        <v>0</v>
      </c>
      <c r="AF154" s="371">
        <f t="shared" si="26"/>
        <v>0</v>
      </c>
      <c r="AG154" s="125" t="e">
        <f t="shared" si="27"/>
        <v>#N/A</v>
      </c>
    </row>
    <row r="155" spans="1:33" ht="15" customHeight="1" x14ac:dyDescent="0.35">
      <c r="A155" s="185">
        <v>153</v>
      </c>
      <c r="B155" s="172"/>
      <c r="C155" s="193"/>
      <c r="D155" s="324"/>
      <c r="E155" s="332" t="str">
        <f t="shared" si="9"/>
        <v/>
      </c>
      <c r="F155" s="170"/>
      <c r="G155" s="137"/>
      <c r="H155" s="339" t="str">
        <f t="shared" si="20"/>
        <v/>
      </c>
      <c r="I155" s="393"/>
      <c r="J155" s="169"/>
      <c r="K155" s="328"/>
      <c r="L155" s="330" t="str">
        <f t="shared" si="21"/>
        <v/>
      </c>
      <c r="M155" s="33"/>
      <c r="N155" s="168"/>
      <c r="O155" s="172"/>
      <c r="P155" s="183"/>
      <c r="Q155" s="183"/>
      <c r="R155" s="202"/>
      <c r="S155" s="34"/>
      <c r="T155" s="324"/>
      <c r="U155" s="327" t="str">
        <f t="shared" si="22"/>
        <v/>
      </c>
      <c r="V155" s="325"/>
      <c r="W155" s="320"/>
      <c r="X155" s="334"/>
      <c r="AB155" s="370">
        <v>153</v>
      </c>
      <c r="AC155" s="371">
        <f t="shared" si="23"/>
        <v>0</v>
      </c>
      <c r="AD155" s="371">
        <f t="shared" si="24"/>
        <v>0</v>
      </c>
      <c r="AE155" s="371">
        <f t="shared" si="25"/>
        <v>0</v>
      </c>
      <c r="AF155" s="371">
        <f t="shared" si="26"/>
        <v>0</v>
      </c>
      <c r="AG155" s="125" t="e">
        <f t="shared" si="27"/>
        <v>#N/A</v>
      </c>
    </row>
    <row r="156" spans="1:33" ht="15" customHeight="1" x14ac:dyDescent="0.35">
      <c r="A156" s="185">
        <v>154</v>
      </c>
      <c r="B156" s="172"/>
      <c r="C156" s="193"/>
      <c r="D156" s="324"/>
      <c r="E156" s="332" t="str">
        <f t="shared" si="9"/>
        <v/>
      </c>
      <c r="F156" s="170"/>
      <c r="G156" s="137"/>
      <c r="H156" s="339" t="str">
        <f t="shared" si="20"/>
        <v/>
      </c>
      <c r="I156" s="393"/>
      <c r="J156" s="169"/>
      <c r="K156" s="328"/>
      <c r="L156" s="330" t="str">
        <f t="shared" si="21"/>
        <v/>
      </c>
      <c r="M156" s="33"/>
      <c r="N156" s="168"/>
      <c r="O156" s="172"/>
      <c r="P156" s="183"/>
      <c r="Q156" s="183"/>
      <c r="R156" s="202"/>
      <c r="S156" s="34"/>
      <c r="T156" s="324"/>
      <c r="U156" s="327" t="str">
        <f t="shared" si="22"/>
        <v/>
      </c>
      <c r="V156" s="325"/>
      <c r="W156" s="320"/>
      <c r="X156" s="334"/>
      <c r="AB156" s="370">
        <v>154</v>
      </c>
      <c r="AC156" s="371">
        <f t="shared" si="23"/>
        <v>0</v>
      </c>
      <c r="AD156" s="371">
        <f t="shared" si="24"/>
        <v>0</v>
      </c>
      <c r="AE156" s="371">
        <f t="shared" si="25"/>
        <v>0</v>
      </c>
      <c r="AF156" s="371">
        <f t="shared" si="26"/>
        <v>0</v>
      </c>
      <c r="AG156" s="125" t="e">
        <f t="shared" si="27"/>
        <v>#N/A</v>
      </c>
    </row>
    <row r="157" spans="1:33" ht="15" customHeight="1" x14ac:dyDescent="0.35">
      <c r="A157" s="185">
        <v>155</v>
      </c>
      <c r="B157" s="172"/>
      <c r="C157" s="193"/>
      <c r="D157" s="324"/>
      <c r="E157" s="332" t="str">
        <f t="shared" si="9"/>
        <v/>
      </c>
      <c r="F157" s="170"/>
      <c r="G157" s="137"/>
      <c r="H157" s="339" t="str">
        <f t="shared" si="20"/>
        <v/>
      </c>
      <c r="I157" s="393"/>
      <c r="J157" s="169"/>
      <c r="K157" s="328"/>
      <c r="L157" s="330" t="str">
        <f t="shared" si="21"/>
        <v/>
      </c>
      <c r="M157" s="33"/>
      <c r="N157" s="168"/>
      <c r="O157" s="172"/>
      <c r="P157" s="183"/>
      <c r="Q157" s="183"/>
      <c r="R157" s="202"/>
      <c r="S157" s="34"/>
      <c r="T157" s="324"/>
      <c r="U157" s="327" t="str">
        <f t="shared" si="22"/>
        <v/>
      </c>
      <c r="V157" s="325"/>
      <c r="W157" s="320"/>
      <c r="X157" s="334"/>
      <c r="AB157" s="370">
        <v>155</v>
      </c>
      <c r="AC157" s="371">
        <f t="shared" si="23"/>
        <v>0</v>
      </c>
      <c r="AD157" s="371">
        <f t="shared" si="24"/>
        <v>0</v>
      </c>
      <c r="AE157" s="371">
        <f t="shared" si="25"/>
        <v>0</v>
      </c>
      <c r="AF157" s="371">
        <f t="shared" si="26"/>
        <v>0</v>
      </c>
      <c r="AG157" s="125" t="e">
        <f t="shared" si="27"/>
        <v>#N/A</v>
      </c>
    </row>
    <row r="158" spans="1:33" ht="15" customHeight="1" x14ac:dyDescent="0.35">
      <c r="A158" s="185">
        <v>156</v>
      </c>
      <c r="B158" s="172"/>
      <c r="C158" s="193"/>
      <c r="D158" s="324"/>
      <c r="E158" s="332" t="str">
        <f t="shared" si="9"/>
        <v/>
      </c>
      <c r="F158" s="170"/>
      <c r="G158" s="137"/>
      <c r="H158" s="339" t="str">
        <f t="shared" si="20"/>
        <v/>
      </c>
      <c r="I158" s="393"/>
      <c r="J158" s="169"/>
      <c r="K158" s="328"/>
      <c r="L158" s="330" t="str">
        <f t="shared" si="21"/>
        <v/>
      </c>
      <c r="M158" s="33"/>
      <c r="N158" s="168"/>
      <c r="O158" s="172"/>
      <c r="P158" s="183"/>
      <c r="Q158" s="183"/>
      <c r="R158" s="202"/>
      <c r="S158" s="34"/>
      <c r="T158" s="324"/>
      <c r="U158" s="327" t="str">
        <f t="shared" si="22"/>
        <v/>
      </c>
      <c r="V158" s="325"/>
      <c r="W158" s="320"/>
      <c r="X158" s="334"/>
      <c r="AB158" s="370">
        <v>156</v>
      </c>
      <c r="AC158" s="371">
        <f t="shared" si="23"/>
        <v>0</v>
      </c>
      <c r="AD158" s="371">
        <f t="shared" si="24"/>
        <v>0</v>
      </c>
      <c r="AE158" s="371">
        <f t="shared" si="25"/>
        <v>0</v>
      </c>
      <c r="AF158" s="371">
        <f t="shared" si="26"/>
        <v>0</v>
      </c>
      <c r="AG158" s="125" t="e">
        <f t="shared" si="27"/>
        <v>#N/A</v>
      </c>
    </row>
    <row r="159" spans="1:33" ht="15" customHeight="1" x14ac:dyDescent="0.35">
      <c r="A159" s="185">
        <v>157</v>
      </c>
      <c r="B159" s="172"/>
      <c r="C159" s="193"/>
      <c r="D159" s="324"/>
      <c r="E159" s="332" t="str">
        <f t="shared" si="9"/>
        <v/>
      </c>
      <c r="F159" s="170"/>
      <c r="G159" s="137"/>
      <c r="H159" s="339" t="str">
        <f t="shared" si="20"/>
        <v/>
      </c>
      <c r="I159" s="393"/>
      <c r="J159" s="169"/>
      <c r="K159" s="328"/>
      <c r="L159" s="330" t="str">
        <f t="shared" si="21"/>
        <v/>
      </c>
      <c r="M159" s="33"/>
      <c r="N159" s="168"/>
      <c r="O159" s="172"/>
      <c r="P159" s="183"/>
      <c r="Q159" s="183"/>
      <c r="R159" s="202"/>
      <c r="S159" s="34"/>
      <c r="T159" s="324"/>
      <c r="U159" s="327" t="str">
        <f t="shared" si="22"/>
        <v/>
      </c>
      <c r="V159" s="325"/>
      <c r="W159" s="320"/>
      <c r="X159" s="334"/>
      <c r="AB159" s="370">
        <v>157</v>
      </c>
      <c r="AC159" s="371">
        <f t="shared" si="23"/>
        <v>0</v>
      </c>
      <c r="AD159" s="371">
        <f t="shared" si="24"/>
        <v>0</v>
      </c>
      <c r="AE159" s="371">
        <f t="shared" si="25"/>
        <v>0</v>
      </c>
      <c r="AF159" s="371">
        <f t="shared" si="26"/>
        <v>0</v>
      </c>
      <c r="AG159" s="125" t="e">
        <f t="shared" si="27"/>
        <v>#N/A</v>
      </c>
    </row>
    <row r="160" spans="1:33" ht="15" customHeight="1" x14ac:dyDescent="0.35">
      <c r="A160" s="185">
        <v>158</v>
      </c>
      <c r="B160" s="172"/>
      <c r="C160" s="193"/>
      <c r="D160" s="324"/>
      <c r="E160" s="332" t="str">
        <f t="shared" si="9"/>
        <v/>
      </c>
      <c r="F160" s="170"/>
      <c r="G160" s="137"/>
      <c r="H160" s="339" t="str">
        <f t="shared" si="20"/>
        <v/>
      </c>
      <c r="I160" s="393"/>
      <c r="J160" s="169"/>
      <c r="K160" s="328"/>
      <c r="L160" s="330" t="str">
        <f t="shared" si="21"/>
        <v/>
      </c>
      <c r="M160" s="33"/>
      <c r="N160" s="168"/>
      <c r="O160" s="172"/>
      <c r="P160" s="183"/>
      <c r="Q160" s="183"/>
      <c r="R160" s="202"/>
      <c r="S160" s="34"/>
      <c r="T160" s="324"/>
      <c r="U160" s="327" t="str">
        <f t="shared" si="22"/>
        <v/>
      </c>
      <c r="V160" s="325"/>
      <c r="W160" s="320"/>
      <c r="X160" s="334"/>
      <c r="AB160" s="370">
        <v>158</v>
      </c>
      <c r="AC160" s="371">
        <f t="shared" si="23"/>
        <v>0</v>
      </c>
      <c r="AD160" s="371">
        <f t="shared" si="24"/>
        <v>0</v>
      </c>
      <c r="AE160" s="371">
        <f t="shared" si="25"/>
        <v>0</v>
      </c>
      <c r="AF160" s="371">
        <f t="shared" si="26"/>
        <v>0</v>
      </c>
      <c r="AG160" s="125" t="e">
        <f t="shared" si="27"/>
        <v>#N/A</v>
      </c>
    </row>
    <row r="161" spans="1:33" ht="15" customHeight="1" x14ac:dyDescent="0.35">
      <c r="A161" s="185">
        <v>159</v>
      </c>
      <c r="B161" s="172"/>
      <c r="C161" s="193"/>
      <c r="D161" s="324"/>
      <c r="E161" s="332" t="str">
        <f t="shared" si="9"/>
        <v/>
      </c>
      <c r="F161" s="170"/>
      <c r="G161" s="137"/>
      <c r="H161" s="339" t="str">
        <f t="shared" si="20"/>
        <v/>
      </c>
      <c r="I161" s="393"/>
      <c r="J161" s="169"/>
      <c r="K161" s="328"/>
      <c r="L161" s="330" t="str">
        <f t="shared" si="21"/>
        <v/>
      </c>
      <c r="M161" s="33"/>
      <c r="N161" s="168"/>
      <c r="O161" s="172"/>
      <c r="P161" s="183"/>
      <c r="Q161" s="183"/>
      <c r="R161" s="202"/>
      <c r="S161" s="34"/>
      <c r="T161" s="324"/>
      <c r="U161" s="327" t="str">
        <f t="shared" si="22"/>
        <v/>
      </c>
      <c r="V161" s="325"/>
      <c r="W161" s="320"/>
      <c r="X161" s="334"/>
      <c r="AB161" s="370">
        <v>159</v>
      </c>
      <c r="AC161" s="371">
        <f t="shared" si="23"/>
        <v>0</v>
      </c>
      <c r="AD161" s="371">
        <f t="shared" si="24"/>
        <v>0</v>
      </c>
      <c r="AE161" s="371">
        <f t="shared" si="25"/>
        <v>0</v>
      </c>
      <c r="AF161" s="371">
        <f t="shared" si="26"/>
        <v>0</v>
      </c>
      <c r="AG161" s="125" t="e">
        <f t="shared" si="27"/>
        <v>#N/A</v>
      </c>
    </row>
    <row r="162" spans="1:33" ht="15" customHeight="1" x14ac:dyDescent="0.35">
      <c r="A162" s="185">
        <v>160</v>
      </c>
      <c r="B162" s="172"/>
      <c r="C162" s="193"/>
      <c r="D162" s="324"/>
      <c r="E162" s="332" t="str">
        <f t="shared" si="9"/>
        <v/>
      </c>
      <c r="F162" s="170"/>
      <c r="G162" s="137"/>
      <c r="H162" s="339" t="str">
        <f t="shared" si="20"/>
        <v/>
      </c>
      <c r="I162" s="393"/>
      <c r="J162" s="169"/>
      <c r="K162" s="328"/>
      <c r="L162" s="330" t="str">
        <f t="shared" si="21"/>
        <v/>
      </c>
      <c r="M162" s="33"/>
      <c r="N162" s="168"/>
      <c r="O162" s="172"/>
      <c r="P162" s="183"/>
      <c r="Q162" s="183"/>
      <c r="R162" s="202"/>
      <c r="S162" s="34"/>
      <c r="T162" s="324"/>
      <c r="U162" s="327" t="str">
        <f t="shared" si="22"/>
        <v/>
      </c>
      <c r="V162" s="325"/>
      <c r="W162" s="320"/>
      <c r="X162" s="334"/>
      <c r="AB162" s="370">
        <v>160</v>
      </c>
      <c r="AC162" s="371">
        <f t="shared" si="23"/>
        <v>0</v>
      </c>
      <c r="AD162" s="371">
        <f t="shared" si="24"/>
        <v>0</v>
      </c>
      <c r="AE162" s="371">
        <f t="shared" si="25"/>
        <v>0</v>
      </c>
      <c r="AF162" s="371">
        <f t="shared" si="26"/>
        <v>0</v>
      </c>
      <c r="AG162" s="125" t="e">
        <f t="shared" si="27"/>
        <v>#N/A</v>
      </c>
    </row>
    <row r="163" spans="1:33" ht="15" customHeight="1" x14ac:dyDescent="0.35">
      <c r="A163" s="185">
        <v>161</v>
      </c>
      <c r="B163" s="172"/>
      <c r="C163" s="193"/>
      <c r="D163" s="324"/>
      <c r="E163" s="332" t="str">
        <f t="shared" si="9"/>
        <v/>
      </c>
      <c r="F163" s="170"/>
      <c r="G163" s="137"/>
      <c r="H163" s="339" t="str">
        <f t="shared" si="20"/>
        <v/>
      </c>
      <c r="I163" s="393"/>
      <c r="J163" s="169"/>
      <c r="K163" s="328"/>
      <c r="L163" s="330" t="str">
        <f t="shared" si="21"/>
        <v/>
      </c>
      <c r="M163" s="33"/>
      <c r="N163" s="168"/>
      <c r="O163" s="172"/>
      <c r="P163" s="183"/>
      <c r="Q163" s="183"/>
      <c r="R163" s="202"/>
      <c r="S163" s="34"/>
      <c r="T163" s="324"/>
      <c r="U163" s="327" t="str">
        <f t="shared" si="22"/>
        <v/>
      </c>
      <c r="V163" s="325"/>
      <c r="W163" s="320"/>
      <c r="X163" s="334"/>
      <c r="AB163" s="370">
        <v>161</v>
      </c>
      <c r="AC163" s="371">
        <f t="shared" si="23"/>
        <v>0</v>
      </c>
      <c r="AD163" s="371">
        <f t="shared" si="24"/>
        <v>0</v>
      </c>
      <c r="AE163" s="371">
        <f t="shared" si="25"/>
        <v>0</v>
      </c>
      <c r="AF163" s="371">
        <f t="shared" si="26"/>
        <v>0</v>
      </c>
      <c r="AG163" s="125" t="e">
        <f t="shared" si="27"/>
        <v>#N/A</v>
      </c>
    </row>
    <row r="164" spans="1:33" ht="15" customHeight="1" x14ac:dyDescent="0.35">
      <c r="A164" s="185">
        <v>162</v>
      </c>
      <c r="B164" s="172"/>
      <c r="C164" s="193"/>
      <c r="D164" s="324"/>
      <c r="E164" s="332" t="str">
        <f t="shared" si="9"/>
        <v/>
      </c>
      <c r="F164" s="170"/>
      <c r="G164" s="137"/>
      <c r="H164" s="339" t="str">
        <f t="shared" si="20"/>
        <v/>
      </c>
      <c r="I164" s="393"/>
      <c r="J164" s="169"/>
      <c r="K164" s="328"/>
      <c r="L164" s="330" t="str">
        <f t="shared" si="21"/>
        <v/>
      </c>
      <c r="M164" s="33"/>
      <c r="N164" s="168"/>
      <c r="O164" s="172"/>
      <c r="P164" s="183"/>
      <c r="Q164" s="183"/>
      <c r="R164" s="202"/>
      <c r="S164" s="34"/>
      <c r="T164" s="324"/>
      <c r="U164" s="327" t="str">
        <f t="shared" si="22"/>
        <v/>
      </c>
      <c r="V164" s="325"/>
      <c r="W164" s="320"/>
      <c r="X164" s="334"/>
      <c r="AB164" s="370">
        <v>162</v>
      </c>
      <c r="AC164" s="371">
        <f t="shared" si="23"/>
        <v>0</v>
      </c>
      <c r="AD164" s="371">
        <f t="shared" si="24"/>
        <v>0</v>
      </c>
      <c r="AE164" s="371">
        <f t="shared" si="25"/>
        <v>0</v>
      </c>
      <c r="AF164" s="371">
        <f t="shared" si="26"/>
        <v>0</v>
      </c>
      <c r="AG164" s="125" t="e">
        <f t="shared" si="27"/>
        <v>#N/A</v>
      </c>
    </row>
    <row r="165" spans="1:33" ht="15" customHeight="1" x14ac:dyDescent="0.35">
      <c r="A165" s="185">
        <v>163</v>
      </c>
      <c r="B165" s="172"/>
      <c r="C165" s="193"/>
      <c r="D165" s="324"/>
      <c r="E165" s="332" t="str">
        <f t="shared" si="9"/>
        <v/>
      </c>
      <c r="F165" s="170"/>
      <c r="G165" s="137"/>
      <c r="H165" s="339" t="str">
        <f t="shared" si="20"/>
        <v/>
      </c>
      <c r="I165" s="393"/>
      <c r="J165" s="169"/>
      <c r="K165" s="328"/>
      <c r="L165" s="330" t="str">
        <f t="shared" si="21"/>
        <v/>
      </c>
      <c r="M165" s="33"/>
      <c r="N165" s="168"/>
      <c r="O165" s="172"/>
      <c r="P165" s="183"/>
      <c r="Q165" s="183"/>
      <c r="R165" s="202"/>
      <c r="S165" s="34"/>
      <c r="T165" s="324"/>
      <c r="U165" s="327" t="str">
        <f t="shared" si="22"/>
        <v/>
      </c>
      <c r="V165" s="325"/>
      <c r="W165" s="320"/>
      <c r="X165" s="334"/>
      <c r="AB165" s="370">
        <v>163</v>
      </c>
      <c r="AC165" s="371">
        <f t="shared" si="23"/>
        <v>0</v>
      </c>
      <c r="AD165" s="371">
        <f t="shared" si="24"/>
        <v>0</v>
      </c>
      <c r="AE165" s="371">
        <f t="shared" si="25"/>
        <v>0</v>
      </c>
      <c r="AF165" s="371">
        <f t="shared" si="26"/>
        <v>0</v>
      </c>
      <c r="AG165" s="125" t="e">
        <f t="shared" si="27"/>
        <v>#N/A</v>
      </c>
    </row>
    <row r="166" spans="1:33" ht="15" customHeight="1" x14ac:dyDescent="0.35">
      <c r="A166" s="185">
        <v>164</v>
      </c>
      <c r="B166" s="172"/>
      <c r="C166" s="193"/>
      <c r="D166" s="324"/>
      <c r="E166" s="332" t="str">
        <f t="shared" si="9"/>
        <v/>
      </c>
      <c r="F166" s="170"/>
      <c r="G166" s="137"/>
      <c r="H166" s="339" t="str">
        <f t="shared" si="20"/>
        <v/>
      </c>
      <c r="I166" s="393"/>
      <c r="J166" s="169"/>
      <c r="K166" s="328"/>
      <c r="L166" s="330" t="str">
        <f t="shared" si="21"/>
        <v/>
      </c>
      <c r="M166" s="33"/>
      <c r="N166" s="168"/>
      <c r="O166" s="172"/>
      <c r="P166" s="183"/>
      <c r="Q166" s="183"/>
      <c r="R166" s="202"/>
      <c r="S166" s="34"/>
      <c r="T166" s="324"/>
      <c r="U166" s="327" t="str">
        <f t="shared" si="22"/>
        <v/>
      </c>
      <c r="V166" s="325"/>
      <c r="W166" s="320"/>
      <c r="X166" s="334"/>
      <c r="AB166" s="370">
        <v>164</v>
      </c>
      <c r="AC166" s="371">
        <f t="shared" ref="AC166:AC229" si="28">IF(AND(E166&gt;0,E166&lt;25),1,0)</f>
        <v>0</v>
      </c>
      <c r="AD166" s="371">
        <f t="shared" ref="AD166:AD229" si="29">IF(AND(E166&gt;24,E166&lt;35),1,0)</f>
        <v>0</v>
      </c>
      <c r="AE166" s="371">
        <f t="shared" ref="AE166:AE229" si="30">IF(AND(E166&gt;34,E166&lt;60),1,0)</f>
        <v>0</v>
      </c>
      <c r="AF166" s="371">
        <f t="shared" ref="AF166:AF229" si="31">IF(AND(E166&gt;59,E166&lt;151),1,0)</f>
        <v>0</v>
      </c>
      <c r="AG166" s="125" t="e">
        <f t="shared" ref="AG166:AG229" si="32">_xlfn.IFS(AC166=1,1,AD166=1,2,AE166=1,3,AF166=1,4)</f>
        <v>#N/A</v>
      </c>
    </row>
    <row r="167" spans="1:33" ht="15" customHeight="1" x14ac:dyDescent="0.35">
      <c r="A167" s="185">
        <v>165</v>
      </c>
      <c r="B167" s="172"/>
      <c r="C167" s="193"/>
      <c r="D167" s="324"/>
      <c r="E167" s="332" t="str">
        <f t="shared" si="9"/>
        <v/>
      </c>
      <c r="F167" s="170"/>
      <c r="G167" s="137"/>
      <c r="H167" s="339" t="str">
        <f t="shared" si="20"/>
        <v/>
      </c>
      <c r="I167" s="393"/>
      <c r="J167" s="169"/>
      <c r="K167" s="328"/>
      <c r="L167" s="330" t="str">
        <f t="shared" si="21"/>
        <v/>
      </c>
      <c r="M167" s="33"/>
      <c r="N167" s="168"/>
      <c r="O167" s="172"/>
      <c r="P167" s="183"/>
      <c r="Q167" s="183"/>
      <c r="R167" s="202"/>
      <c r="S167" s="34"/>
      <c r="T167" s="324"/>
      <c r="U167" s="327" t="str">
        <f t="shared" si="22"/>
        <v/>
      </c>
      <c r="V167" s="325"/>
      <c r="W167" s="320"/>
      <c r="X167" s="334"/>
      <c r="AB167" s="370">
        <v>165</v>
      </c>
      <c r="AC167" s="371">
        <f t="shared" si="28"/>
        <v>0</v>
      </c>
      <c r="AD167" s="371">
        <f t="shared" si="29"/>
        <v>0</v>
      </c>
      <c r="AE167" s="371">
        <f t="shared" si="30"/>
        <v>0</v>
      </c>
      <c r="AF167" s="371">
        <f t="shared" si="31"/>
        <v>0</v>
      </c>
      <c r="AG167" s="125" t="e">
        <f t="shared" si="32"/>
        <v>#N/A</v>
      </c>
    </row>
    <row r="168" spans="1:33" ht="15" customHeight="1" x14ac:dyDescent="0.35">
      <c r="A168" s="185">
        <v>166</v>
      </c>
      <c r="B168" s="172"/>
      <c r="C168" s="193"/>
      <c r="D168" s="324"/>
      <c r="E168" s="332" t="str">
        <f t="shared" si="9"/>
        <v/>
      </c>
      <c r="F168" s="170"/>
      <c r="G168" s="137"/>
      <c r="H168" s="339" t="str">
        <f t="shared" si="20"/>
        <v/>
      </c>
      <c r="I168" s="393"/>
      <c r="J168" s="169"/>
      <c r="K168" s="328"/>
      <c r="L168" s="330" t="str">
        <f t="shared" si="21"/>
        <v/>
      </c>
      <c r="M168" s="33"/>
      <c r="N168" s="168"/>
      <c r="O168" s="172"/>
      <c r="P168" s="183"/>
      <c r="Q168" s="183"/>
      <c r="R168" s="202"/>
      <c r="S168" s="34"/>
      <c r="T168" s="324"/>
      <c r="U168" s="327" t="str">
        <f t="shared" si="22"/>
        <v/>
      </c>
      <c r="V168" s="325"/>
      <c r="W168" s="320"/>
      <c r="X168" s="334"/>
      <c r="AB168" s="370">
        <v>166</v>
      </c>
      <c r="AC168" s="371">
        <f t="shared" si="28"/>
        <v>0</v>
      </c>
      <c r="AD168" s="371">
        <f t="shared" si="29"/>
        <v>0</v>
      </c>
      <c r="AE168" s="371">
        <f t="shared" si="30"/>
        <v>0</v>
      </c>
      <c r="AF168" s="371">
        <f t="shared" si="31"/>
        <v>0</v>
      </c>
      <c r="AG168" s="125" t="e">
        <f t="shared" si="32"/>
        <v>#N/A</v>
      </c>
    </row>
    <row r="169" spans="1:33" ht="15" customHeight="1" x14ac:dyDescent="0.35">
      <c r="A169" s="185">
        <v>167</v>
      </c>
      <c r="B169" s="172"/>
      <c r="C169" s="193"/>
      <c r="D169" s="324"/>
      <c r="E169" s="332" t="str">
        <f t="shared" si="9"/>
        <v/>
      </c>
      <c r="F169" s="170"/>
      <c r="G169" s="137"/>
      <c r="H169" s="339" t="str">
        <f t="shared" si="20"/>
        <v/>
      </c>
      <c r="I169" s="393"/>
      <c r="J169" s="169"/>
      <c r="K169" s="328"/>
      <c r="L169" s="330" t="str">
        <f t="shared" si="21"/>
        <v/>
      </c>
      <c r="M169" s="33"/>
      <c r="N169" s="168"/>
      <c r="O169" s="172"/>
      <c r="P169" s="183"/>
      <c r="Q169" s="183"/>
      <c r="R169" s="202"/>
      <c r="S169" s="34"/>
      <c r="T169" s="324"/>
      <c r="U169" s="327" t="str">
        <f t="shared" si="22"/>
        <v/>
      </c>
      <c r="V169" s="325"/>
      <c r="W169" s="320"/>
      <c r="X169" s="334"/>
      <c r="AB169" s="370">
        <v>167</v>
      </c>
      <c r="AC169" s="371">
        <f t="shared" si="28"/>
        <v>0</v>
      </c>
      <c r="AD169" s="371">
        <f t="shared" si="29"/>
        <v>0</v>
      </c>
      <c r="AE169" s="371">
        <f t="shared" si="30"/>
        <v>0</v>
      </c>
      <c r="AF169" s="371">
        <f t="shared" si="31"/>
        <v>0</v>
      </c>
      <c r="AG169" s="125" t="e">
        <f t="shared" si="32"/>
        <v>#N/A</v>
      </c>
    </row>
    <row r="170" spans="1:33" ht="15" customHeight="1" x14ac:dyDescent="0.35">
      <c r="A170" s="185">
        <v>168</v>
      </c>
      <c r="B170" s="172"/>
      <c r="C170" s="193"/>
      <c r="D170" s="324"/>
      <c r="E170" s="332" t="str">
        <f t="shared" si="9"/>
        <v/>
      </c>
      <c r="F170" s="170"/>
      <c r="G170" s="137"/>
      <c r="H170" s="339" t="str">
        <f t="shared" si="20"/>
        <v/>
      </c>
      <c r="I170" s="393"/>
      <c r="J170" s="169"/>
      <c r="K170" s="328"/>
      <c r="L170" s="330" t="str">
        <f t="shared" si="21"/>
        <v/>
      </c>
      <c r="M170" s="33"/>
      <c r="N170" s="168"/>
      <c r="O170" s="172"/>
      <c r="P170" s="183"/>
      <c r="Q170" s="183"/>
      <c r="R170" s="202"/>
      <c r="S170" s="34"/>
      <c r="T170" s="324"/>
      <c r="U170" s="327" t="str">
        <f t="shared" si="22"/>
        <v/>
      </c>
      <c r="V170" s="325"/>
      <c r="W170" s="320"/>
      <c r="X170" s="334"/>
      <c r="AB170" s="370">
        <v>168</v>
      </c>
      <c r="AC170" s="371">
        <f t="shared" si="28"/>
        <v>0</v>
      </c>
      <c r="AD170" s="371">
        <f t="shared" si="29"/>
        <v>0</v>
      </c>
      <c r="AE170" s="371">
        <f t="shared" si="30"/>
        <v>0</v>
      </c>
      <c r="AF170" s="371">
        <f t="shared" si="31"/>
        <v>0</v>
      </c>
      <c r="AG170" s="125" t="e">
        <f t="shared" si="32"/>
        <v>#N/A</v>
      </c>
    </row>
    <row r="171" spans="1:33" ht="15" customHeight="1" x14ac:dyDescent="0.35">
      <c r="A171" s="185">
        <v>169</v>
      </c>
      <c r="B171" s="172"/>
      <c r="C171" s="193"/>
      <c r="D171" s="324"/>
      <c r="E171" s="332" t="str">
        <f t="shared" si="9"/>
        <v/>
      </c>
      <c r="F171" s="170"/>
      <c r="G171" s="137"/>
      <c r="H171" s="339" t="str">
        <f t="shared" si="20"/>
        <v/>
      </c>
      <c r="I171" s="393"/>
      <c r="J171" s="169"/>
      <c r="K171" s="328"/>
      <c r="L171" s="330" t="str">
        <f t="shared" si="21"/>
        <v/>
      </c>
      <c r="M171" s="33"/>
      <c r="N171" s="168"/>
      <c r="O171" s="172"/>
      <c r="P171" s="183"/>
      <c r="Q171" s="183"/>
      <c r="R171" s="202"/>
      <c r="S171" s="34"/>
      <c r="T171" s="324"/>
      <c r="U171" s="327" t="str">
        <f t="shared" si="22"/>
        <v/>
      </c>
      <c r="V171" s="325"/>
      <c r="W171" s="320"/>
      <c r="X171" s="334"/>
      <c r="AB171" s="370">
        <v>169</v>
      </c>
      <c r="AC171" s="371">
        <f t="shared" si="28"/>
        <v>0</v>
      </c>
      <c r="AD171" s="371">
        <f t="shared" si="29"/>
        <v>0</v>
      </c>
      <c r="AE171" s="371">
        <f t="shared" si="30"/>
        <v>0</v>
      </c>
      <c r="AF171" s="371">
        <f t="shared" si="31"/>
        <v>0</v>
      </c>
      <c r="AG171" s="125" t="e">
        <f t="shared" si="32"/>
        <v>#N/A</v>
      </c>
    </row>
    <row r="172" spans="1:33" ht="15" customHeight="1" x14ac:dyDescent="0.35">
      <c r="A172" s="185">
        <v>170</v>
      </c>
      <c r="B172" s="172"/>
      <c r="C172" s="193"/>
      <c r="D172" s="324"/>
      <c r="E172" s="332" t="str">
        <f t="shared" si="9"/>
        <v/>
      </c>
      <c r="F172" s="170"/>
      <c r="G172" s="137"/>
      <c r="H172" s="339" t="str">
        <f t="shared" si="20"/>
        <v/>
      </c>
      <c r="I172" s="393"/>
      <c r="J172" s="169"/>
      <c r="K172" s="328"/>
      <c r="L172" s="330" t="str">
        <f t="shared" si="21"/>
        <v/>
      </c>
      <c r="M172" s="33"/>
      <c r="N172" s="168"/>
      <c r="O172" s="172"/>
      <c r="P172" s="183"/>
      <c r="Q172" s="183"/>
      <c r="R172" s="202"/>
      <c r="S172" s="34"/>
      <c r="T172" s="324"/>
      <c r="U172" s="327" t="str">
        <f t="shared" si="22"/>
        <v/>
      </c>
      <c r="V172" s="325"/>
      <c r="W172" s="320"/>
      <c r="X172" s="334"/>
      <c r="AB172" s="370">
        <v>170</v>
      </c>
      <c r="AC172" s="371">
        <f t="shared" si="28"/>
        <v>0</v>
      </c>
      <c r="AD172" s="371">
        <f t="shared" si="29"/>
        <v>0</v>
      </c>
      <c r="AE172" s="371">
        <f t="shared" si="30"/>
        <v>0</v>
      </c>
      <c r="AF172" s="371">
        <f t="shared" si="31"/>
        <v>0</v>
      </c>
      <c r="AG172" s="125" t="e">
        <f t="shared" si="32"/>
        <v>#N/A</v>
      </c>
    </row>
    <row r="173" spans="1:33" ht="15" customHeight="1" x14ac:dyDescent="0.35">
      <c r="A173" s="185">
        <v>171</v>
      </c>
      <c r="B173" s="172"/>
      <c r="C173" s="193"/>
      <c r="D173" s="324"/>
      <c r="E173" s="332" t="str">
        <f t="shared" si="9"/>
        <v/>
      </c>
      <c r="F173" s="170"/>
      <c r="G173" s="137"/>
      <c r="H173" s="339" t="str">
        <f t="shared" si="20"/>
        <v/>
      </c>
      <c r="I173" s="393"/>
      <c r="J173" s="169"/>
      <c r="K173" s="328"/>
      <c r="L173" s="330" t="str">
        <f t="shared" si="21"/>
        <v/>
      </c>
      <c r="M173" s="33"/>
      <c r="N173" s="168"/>
      <c r="O173" s="172"/>
      <c r="P173" s="183"/>
      <c r="Q173" s="183"/>
      <c r="R173" s="202"/>
      <c r="S173" s="34"/>
      <c r="T173" s="324"/>
      <c r="U173" s="327" t="str">
        <f t="shared" si="22"/>
        <v/>
      </c>
      <c r="V173" s="325"/>
      <c r="W173" s="320"/>
      <c r="X173" s="334"/>
      <c r="AB173" s="370">
        <v>171</v>
      </c>
      <c r="AC173" s="371">
        <f t="shared" si="28"/>
        <v>0</v>
      </c>
      <c r="AD173" s="371">
        <f t="shared" si="29"/>
        <v>0</v>
      </c>
      <c r="AE173" s="371">
        <f t="shared" si="30"/>
        <v>0</v>
      </c>
      <c r="AF173" s="371">
        <f t="shared" si="31"/>
        <v>0</v>
      </c>
      <c r="AG173" s="125" t="e">
        <f t="shared" si="32"/>
        <v>#N/A</v>
      </c>
    </row>
    <row r="174" spans="1:33" ht="15" customHeight="1" x14ac:dyDescent="0.35">
      <c r="A174" s="185">
        <v>172</v>
      </c>
      <c r="B174" s="172"/>
      <c r="C174" s="193"/>
      <c r="D174" s="324"/>
      <c r="E174" s="332" t="str">
        <f t="shared" si="9"/>
        <v/>
      </c>
      <c r="F174" s="170"/>
      <c r="G174" s="137"/>
      <c r="H174" s="339" t="str">
        <f t="shared" si="20"/>
        <v/>
      </c>
      <c r="I174" s="393"/>
      <c r="J174" s="169"/>
      <c r="K174" s="328"/>
      <c r="L174" s="330" t="str">
        <f t="shared" si="21"/>
        <v/>
      </c>
      <c r="M174" s="33"/>
      <c r="N174" s="168"/>
      <c r="O174" s="172"/>
      <c r="P174" s="183"/>
      <c r="Q174" s="183"/>
      <c r="R174" s="202"/>
      <c r="S174" s="34"/>
      <c r="T174" s="324"/>
      <c r="U174" s="327" t="str">
        <f t="shared" si="22"/>
        <v/>
      </c>
      <c r="V174" s="325"/>
      <c r="W174" s="320"/>
      <c r="X174" s="334"/>
      <c r="AB174" s="370">
        <v>172</v>
      </c>
      <c r="AC174" s="371">
        <f t="shared" si="28"/>
        <v>0</v>
      </c>
      <c r="AD174" s="371">
        <f t="shared" si="29"/>
        <v>0</v>
      </c>
      <c r="AE174" s="371">
        <f t="shared" si="30"/>
        <v>0</v>
      </c>
      <c r="AF174" s="371">
        <f t="shared" si="31"/>
        <v>0</v>
      </c>
      <c r="AG174" s="125" t="e">
        <f t="shared" si="32"/>
        <v>#N/A</v>
      </c>
    </row>
    <row r="175" spans="1:33" ht="15" customHeight="1" x14ac:dyDescent="0.35">
      <c r="A175" s="185">
        <v>173</v>
      </c>
      <c r="B175" s="172"/>
      <c r="C175" s="193"/>
      <c r="D175" s="324"/>
      <c r="E175" s="332" t="str">
        <f t="shared" si="9"/>
        <v/>
      </c>
      <c r="F175" s="170"/>
      <c r="G175" s="137"/>
      <c r="H175" s="339" t="str">
        <f t="shared" si="20"/>
        <v/>
      </c>
      <c r="I175" s="393"/>
      <c r="J175" s="169"/>
      <c r="K175" s="328"/>
      <c r="L175" s="330" t="str">
        <f t="shared" si="21"/>
        <v/>
      </c>
      <c r="M175" s="33"/>
      <c r="N175" s="168"/>
      <c r="O175" s="172"/>
      <c r="P175" s="183"/>
      <c r="Q175" s="183"/>
      <c r="R175" s="202"/>
      <c r="S175" s="34"/>
      <c r="T175" s="324"/>
      <c r="U175" s="327" t="str">
        <f t="shared" si="22"/>
        <v/>
      </c>
      <c r="V175" s="325"/>
      <c r="W175" s="320"/>
      <c r="X175" s="334"/>
      <c r="AB175" s="370">
        <v>173</v>
      </c>
      <c r="AC175" s="371">
        <f t="shared" si="28"/>
        <v>0</v>
      </c>
      <c r="AD175" s="371">
        <f t="shared" si="29"/>
        <v>0</v>
      </c>
      <c r="AE175" s="371">
        <f t="shared" si="30"/>
        <v>0</v>
      </c>
      <c r="AF175" s="371">
        <f t="shared" si="31"/>
        <v>0</v>
      </c>
      <c r="AG175" s="125" t="e">
        <f t="shared" si="32"/>
        <v>#N/A</v>
      </c>
    </row>
    <row r="176" spans="1:33" ht="15" customHeight="1" x14ac:dyDescent="0.35">
      <c r="A176" s="185">
        <v>174</v>
      </c>
      <c r="B176" s="172"/>
      <c r="C176" s="193"/>
      <c r="D176" s="324"/>
      <c r="E176" s="332" t="str">
        <f t="shared" si="9"/>
        <v/>
      </c>
      <c r="F176" s="170"/>
      <c r="G176" s="137"/>
      <c r="H176" s="339" t="str">
        <f t="shared" si="20"/>
        <v/>
      </c>
      <c r="I176" s="393"/>
      <c r="J176" s="169"/>
      <c r="K176" s="328"/>
      <c r="L176" s="330" t="str">
        <f t="shared" si="21"/>
        <v/>
      </c>
      <c r="M176" s="33"/>
      <c r="N176" s="168"/>
      <c r="O176" s="172"/>
      <c r="P176" s="183"/>
      <c r="Q176" s="183"/>
      <c r="R176" s="202"/>
      <c r="S176" s="34"/>
      <c r="T176" s="324"/>
      <c r="U176" s="327" t="str">
        <f t="shared" si="22"/>
        <v/>
      </c>
      <c r="V176" s="325"/>
      <c r="W176" s="320"/>
      <c r="X176" s="334"/>
      <c r="AB176" s="370">
        <v>174</v>
      </c>
      <c r="AC176" s="371">
        <f t="shared" si="28"/>
        <v>0</v>
      </c>
      <c r="AD176" s="371">
        <f t="shared" si="29"/>
        <v>0</v>
      </c>
      <c r="AE176" s="371">
        <f t="shared" si="30"/>
        <v>0</v>
      </c>
      <c r="AF176" s="371">
        <f t="shared" si="31"/>
        <v>0</v>
      </c>
      <c r="AG176" s="125" t="e">
        <f t="shared" si="32"/>
        <v>#N/A</v>
      </c>
    </row>
    <row r="177" spans="1:33" ht="15" customHeight="1" x14ac:dyDescent="0.35">
      <c r="A177" s="185">
        <v>175</v>
      </c>
      <c r="B177" s="172"/>
      <c r="C177" s="193"/>
      <c r="D177" s="324"/>
      <c r="E177" s="332" t="str">
        <f t="shared" si="9"/>
        <v/>
      </c>
      <c r="F177" s="170"/>
      <c r="G177" s="137"/>
      <c r="H177" s="339" t="str">
        <f t="shared" si="20"/>
        <v/>
      </c>
      <c r="I177" s="393"/>
      <c r="J177" s="169"/>
      <c r="K177" s="328"/>
      <c r="L177" s="330" t="str">
        <f t="shared" si="21"/>
        <v/>
      </c>
      <c r="M177" s="33"/>
      <c r="N177" s="168"/>
      <c r="O177" s="172"/>
      <c r="P177" s="183"/>
      <c r="Q177" s="183"/>
      <c r="R177" s="202"/>
      <c r="S177" s="34"/>
      <c r="T177" s="324"/>
      <c r="U177" s="327" t="str">
        <f t="shared" si="22"/>
        <v/>
      </c>
      <c r="V177" s="325"/>
      <c r="W177" s="320"/>
      <c r="X177" s="334"/>
      <c r="AB177" s="370">
        <v>175</v>
      </c>
      <c r="AC177" s="371">
        <f t="shared" si="28"/>
        <v>0</v>
      </c>
      <c r="AD177" s="371">
        <f t="shared" si="29"/>
        <v>0</v>
      </c>
      <c r="AE177" s="371">
        <f t="shared" si="30"/>
        <v>0</v>
      </c>
      <c r="AF177" s="371">
        <f t="shared" si="31"/>
        <v>0</v>
      </c>
      <c r="AG177" s="125" t="e">
        <f t="shared" si="32"/>
        <v>#N/A</v>
      </c>
    </row>
    <row r="178" spans="1:33" ht="15" customHeight="1" x14ac:dyDescent="0.35">
      <c r="A178" s="185">
        <v>176</v>
      </c>
      <c r="B178" s="172"/>
      <c r="C178" s="193"/>
      <c r="D178" s="324"/>
      <c r="E178" s="332" t="str">
        <f t="shared" si="9"/>
        <v/>
      </c>
      <c r="F178" s="170"/>
      <c r="G178" s="137"/>
      <c r="H178" s="339" t="str">
        <f t="shared" si="20"/>
        <v/>
      </c>
      <c r="I178" s="393"/>
      <c r="J178" s="169"/>
      <c r="K178" s="328"/>
      <c r="L178" s="330" t="str">
        <f t="shared" si="21"/>
        <v/>
      </c>
      <c r="M178" s="33"/>
      <c r="N178" s="168"/>
      <c r="O178" s="172"/>
      <c r="P178" s="183"/>
      <c r="Q178" s="183"/>
      <c r="R178" s="202"/>
      <c r="S178" s="34"/>
      <c r="T178" s="324"/>
      <c r="U178" s="327" t="str">
        <f t="shared" si="22"/>
        <v/>
      </c>
      <c r="V178" s="325"/>
      <c r="W178" s="320"/>
      <c r="X178" s="334"/>
      <c r="AB178" s="370">
        <v>176</v>
      </c>
      <c r="AC178" s="371">
        <f t="shared" si="28"/>
        <v>0</v>
      </c>
      <c r="AD178" s="371">
        <f t="shared" si="29"/>
        <v>0</v>
      </c>
      <c r="AE178" s="371">
        <f t="shared" si="30"/>
        <v>0</v>
      </c>
      <c r="AF178" s="371">
        <f t="shared" si="31"/>
        <v>0</v>
      </c>
      <c r="AG178" s="125" t="e">
        <f t="shared" si="32"/>
        <v>#N/A</v>
      </c>
    </row>
    <row r="179" spans="1:33" ht="15" customHeight="1" x14ac:dyDescent="0.35">
      <c r="A179" s="185">
        <v>177</v>
      </c>
      <c r="B179" s="172"/>
      <c r="C179" s="193"/>
      <c r="D179" s="324"/>
      <c r="E179" s="332" t="str">
        <f t="shared" si="9"/>
        <v/>
      </c>
      <c r="F179" s="170"/>
      <c r="G179" s="137"/>
      <c r="H179" s="339" t="str">
        <f t="shared" si="20"/>
        <v/>
      </c>
      <c r="I179" s="393"/>
      <c r="J179" s="169"/>
      <c r="K179" s="328"/>
      <c r="L179" s="330" t="str">
        <f t="shared" si="21"/>
        <v/>
      </c>
      <c r="M179" s="33"/>
      <c r="N179" s="168"/>
      <c r="O179" s="172"/>
      <c r="P179" s="183"/>
      <c r="Q179" s="183"/>
      <c r="R179" s="202"/>
      <c r="S179" s="34"/>
      <c r="T179" s="324"/>
      <c r="U179" s="327" t="str">
        <f t="shared" si="22"/>
        <v/>
      </c>
      <c r="V179" s="325"/>
      <c r="W179" s="320"/>
      <c r="X179" s="334"/>
      <c r="AB179" s="370">
        <v>177</v>
      </c>
      <c r="AC179" s="371">
        <f t="shared" si="28"/>
        <v>0</v>
      </c>
      <c r="AD179" s="371">
        <f t="shared" si="29"/>
        <v>0</v>
      </c>
      <c r="AE179" s="371">
        <f t="shared" si="30"/>
        <v>0</v>
      </c>
      <c r="AF179" s="371">
        <f t="shared" si="31"/>
        <v>0</v>
      </c>
      <c r="AG179" s="125" t="e">
        <f t="shared" si="32"/>
        <v>#N/A</v>
      </c>
    </row>
    <row r="180" spans="1:33" ht="15" customHeight="1" x14ac:dyDescent="0.35">
      <c r="A180" s="185">
        <v>178</v>
      </c>
      <c r="B180" s="172"/>
      <c r="C180" s="193"/>
      <c r="D180" s="324"/>
      <c r="E180" s="332" t="str">
        <f t="shared" si="9"/>
        <v/>
      </c>
      <c r="F180" s="170"/>
      <c r="G180" s="137"/>
      <c r="H180" s="339" t="str">
        <f t="shared" si="20"/>
        <v/>
      </c>
      <c r="I180" s="393"/>
      <c r="J180" s="169"/>
      <c r="K180" s="328"/>
      <c r="L180" s="330" t="str">
        <f t="shared" si="21"/>
        <v/>
      </c>
      <c r="M180" s="33"/>
      <c r="N180" s="168"/>
      <c r="O180" s="172"/>
      <c r="P180" s="183"/>
      <c r="Q180" s="183"/>
      <c r="R180" s="202"/>
      <c r="S180" s="34"/>
      <c r="T180" s="324"/>
      <c r="U180" s="327" t="str">
        <f t="shared" si="22"/>
        <v/>
      </c>
      <c r="V180" s="325"/>
      <c r="W180" s="320"/>
      <c r="X180" s="334"/>
      <c r="AB180" s="370">
        <v>178</v>
      </c>
      <c r="AC180" s="371">
        <f t="shared" si="28"/>
        <v>0</v>
      </c>
      <c r="AD180" s="371">
        <f t="shared" si="29"/>
        <v>0</v>
      </c>
      <c r="AE180" s="371">
        <f t="shared" si="30"/>
        <v>0</v>
      </c>
      <c r="AF180" s="371">
        <f t="shared" si="31"/>
        <v>0</v>
      </c>
      <c r="AG180" s="125" t="e">
        <f t="shared" si="32"/>
        <v>#N/A</v>
      </c>
    </row>
    <row r="181" spans="1:33" ht="15" customHeight="1" x14ac:dyDescent="0.35">
      <c r="A181" s="185">
        <v>179</v>
      </c>
      <c r="B181" s="172"/>
      <c r="C181" s="193"/>
      <c r="D181" s="324"/>
      <c r="E181" s="332" t="str">
        <f t="shared" si="9"/>
        <v/>
      </c>
      <c r="F181" s="170"/>
      <c r="G181" s="137"/>
      <c r="H181" s="339" t="str">
        <f t="shared" si="20"/>
        <v/>
      </c>
      <c r="I181" s="393"/>
      <c r="J181" s="169"/>
      <c r="K181" s="328"/>
      <c r="L181" s="330" t="str">
        <f t="shared" si="21"/>
        <v/>
      </c>
      <c r="M181" s="33"/>
      <c r="N181" s="168"/>
      <c r="O181" s="172"/>
      <c r="P181" s="183"/>
      <c r="Q181" s="183"/>
      <c r="R181" s="202"/>
      <c r="S181" s="34"/>
      <c r="T181" s="324"/>
      <c r="U181" s="327" t="str">
        <f t="shared" si="22"/>
        <v/>
      </c>
      <c r="V181" s="325"/>
      <c r="W181" s="320"/>
      <c r="X181" s="334"/>
      <c r="AB181" s="370">
        <v>179</v>
      </c>
      <c r="AC181" s="371">
        <f t="shared" si="28"/>
        <v>0</v>
      </c>
      <c r="AD181" s="371">
        <f t="shared" si="29"/>
        <v>0</v>
      </c>
      <c r="AE181" s="371">
        <f t="shared" si="30"/>
        <v>0</v>
      </c>
      <c r="AF181" s="371">
        <f t="shared" si="31"/>
        <v>0</v>
      </c>
      <c r="AG181" s="125" t="e">
        <f t="shared" si="32"/>
        <v>#N/A</v>
      </c>
    </row>
    <row r="182" spans="1:33" ht="15" customHeight="1" x14ac:dyDescent="0.35">
      <c r="A182" s="185">
        <v>180</v>
      </c>
      <c r="B182" s="172"/>
      <c r="C182" s="193"/>
      <c r="D182" s="324"/>
      <c r="E182" s="332" t="str">
        <f t="shared" si="9"/>
        <v/>
      </c>
      <c r="F182" s="170"/>
      <c r="G182" s="137"/>
      <c r="H182" s="339" t="str">
        <f t="shared" si="20"/>
        <v/>
      </c>
      <c r="I182" s="393"/>
      <c r="J182" s="169"/>
      <c r="K182" s="328"/>
      <c r="L182" s="330" t="str">
        <f t="shared" si="21"/>
        <v/>
      </c>
      <c r="M182" s="33"/>
      <c r="N182" s="168"/>
      <c r="O182" s="172"/>
      <c r="P182" s="183"/>
      <c r="Q182" s="183"/>
      <c r="R182" s="202"/>
      <c r="S182" s="34"/>
      <c r="T182" s="324"/>
      <c r="U182" s="327" t="str">
        <f t="shared" si="22"/>
        <v/>
      </c>
      <c r="V182" s="325"/>
      <c r="W182" s="320"/>
      <c r="X182" s="334"/>
      <c r="AB182" s="370">
        <v>180</v>
      </c>
      <c r="AC182" s="371">
        <f t="shared" si="28"/>
        <v>0</v>
      </c>
      <c r="AD182" s="371">
        <f t="shared" si="29"/>
        <v>0</v>
      </c>
      <c r="AE182" s="371">
        <f t="shared" si="30"/>
        <v>0</v>
      </c>
      <c r="AF182" s="371">
        <f t="shared" si="31"/>
        <v>0</v>
      </c>
      <c r="AG182" s="125" t="e">
        <f t="shared" si="32"/>
        <v>#N/A</v>
      </c>
    </row>
    <row r="183" spans="1:33" ht="15" customHeight="1" x14ac:dyDescent="0.35">
      <c r="A183" s="185">
        <v>181</v>
      </c>
      <c r="B183" s="172"/>
      <c r="C183" s="193"/>
      <c r="D183" s="324"/>
      <c r="E183" s="332" t="str">
        <f t="shared" si="9"/>
        <v/>
      </c>
      <c r="F183" s="170"/>
      <c r="G183" s="137"/>
      <c r="H183" s="339" t="str">
        <f t="shared" si="20"/>
        <v/>
      </c>
      <c r="I183" s="393"/>
      <c r="J183" s="169"/>
      <c r="K183" s="328"/>
      <c r="L183" s="330" t="str">
        <f t="shared" si="21"/>
        <v/>
      </c>
      <c r="M183" s="33"/>
      <c r="N183" s="168"/>
      <c r="O183" s="172"/>
      <c r="P183" s="183"/>
      <c r="Q183" s="183"/>
      <c r="R183" s="202"/>
      <c r="S183" s="34"/>
      <c r="T183" s="324"/>
      <c r="U183" s="327" t="str">
        <f t="shared" si="22"/>
        <v/>
      </c>
      <c r="V183" s="325"/>
      <c r="W183" s="320"/>
      <c r="X183" s="334"/>
      <c r="AB183" s="370">
        <v>181</v>
      </c>
      <c r="AC183" s="371">
        <f t="shared" si="28"/>
        <v>0</v>
      </c>
      <c r="AD183" s="371">
        <f t="shared" si="29"/>
        <v>0</v>
      </c>
      <c r="AE183" s="371">
        <f t="shared" si="30"/>
        <v>0</v>
      </c>
      <c r="AF183" s="371">
        <f t="shared" si="31"/>
        <v>0</v>
      </c>
      <c r="AG183" s="125" t="e">
        <f t="shared" si="32"/>
        <v>#N/A</v>
      </c>
    </row>
    <row r="184" spans="1:33" ht="15" customHeight="1" x14ac:dyDescent="0.35">
      <c r="A184" s="185">
        <v>182</v>
      </c>
      <c r="B184" s="172"/>
      <c r="C184" s="193"/>
      <c r="D184" s="324"/>
      <c r="E184" s="332" t="str">
        <f t="shared" si="9"/>
        <v/>
      </c>
      <c r="F184" s="170"/>
      <c r="G184" s="137"/>
      <c r="H184" s="339" t="str">
        <f t="shared" si="20"/>
        <v/>
      </c>
      <c r="I184" s="393"/>
      <c r="J184" s="169"/>
      <c r="K184" s="328"/>
      <c r="L184" s="330" t="str">
        <f t="shared" si="21"/>
        <v/>
      </c>
      <c r="M184" s="33"/>
      <c r="N184" s="168"/>
      <c r="O184" s="172"/>
      <c r="P184" s="183"/>
      <c r="Q184" s="183"/>
      <c r="R184" s="202"/>
      <c r="S184" s="34"/>
      <c r="T184" s="324"/>
      <c r="U184" s="327" t="str">
        <f t="shared" si="22"/>
        <v/>
      </c>
      <c r="V184" s="325"/>
      <c r="W184" s="320"/>
      <c r="X184" s="334"/>
      <c r="AB184" s="370">
        <v>182</v>
      </c>
      <c r="AC184" s="371">
        <f t="shared" si="28"/>
        <v>0</v>
      </c>
      <c r="AD184" s="371">
        <f t="shared" si="29"/>
        <v>0</v>
      </c>
      <c r="AE184" s="371">
        <f t="shared" si="30"/>
        <v>0</v>
      </c>
      <c r="AF184" s="371">
        <f t="shared" si="31"/>
        <v>0</v>
      </c>
      <c r="AG184" s="125" t="e">
        <f t="shared" si="32"/>
        <v>#N/A</v>
      </c>
    </row>
    <row r="185" spans="1:33" ht="15" customHeight="1" x14ac:dyDescent="0.35">
      <c r="A185" s="185">
        <v>183</v>
      </c>
      <c r="B185" s="172"/>
      <c r="C185" s="193"/>
      <c r="D185" s="324"/>
      <c r="E185" s="332" t="str">
        <f t="shared" si="9"/>
        <v/>
      </c>
      <c r="F185" s="170"/>
      <c r="G185" s="137"/>
      <c r="H185" s="339" t="str">
        <f t="shared" si="20"/>
        <v/>
      </c>
      <c r="I185" s="393"/>
      <c r="J185" s="169"/>
      <c r="K185" s="328"/>
      <c r="L185" s="330" t="str">
        <f t="shared" si="21"/>
        <v/>
      </c>
      <c r="M185" s="33"/>
      <c r="N185" s="168"/>
      <c r="O185" s="172"/>
      <c r="P185" s="183"/>
      <c r="Q185" s="183"/>
      <c r="R185" s="202"/>
      <c r="S185" s="34"/>
      <c r="T185" s="324"/>
      <c r="U185" s="327" t="str">
        <f t="shared" si="22"/>
        <v/>
      </c>
      <c r="V185" s="325"/>
      <c r="W185" s="320"/>
      <c r="X185" s="334"/>
      <c r="AB185" s="370">
        <v>183</v>
      </c>
      <c r="AC185" s="371">
        <f t="shared" si="28"/>
        <v>0</v>
      </c>
      <c r="AD185" s="371">
        <f t="shared" si="29"/>
        <v>0</v>
      </c>
      <c r="AE185" s="371">
        <f t="shared" si="30"/>
        <v>0</v>
      </c>
      <c r="AF185" s="371">
        <f t="shared" si="31"/>
        <v>0</v>
      </c>
      <c r="AG185" s="125" t="e">
        <f t="shared" si="32"/>
        <v>#N/A</v>
      </c>
    </row>
    <row r="186" spans="1:33" ht="15" customHeight="1" x14ac:dyDescent="0.35">
      <c r="A186" s="185">
        <v>184</v>
      </c>
      <c r="B186" s="172"/>
      <c r="C186" s="193"/>
      <c r="D186" s="324"/>
      <c r="E186" s="332" t="str">
        <f t="shared" si="9"/>
        <v/>
      </c>
      <c r="F186" s="170"/>
      <c r="G186" s="137"/>
      <c r="H186" s="339" t="str">
        <f t="shared" si="20"/>
        <v/>
      </c>
      <c r="I186" s="393"/>
      <c r="J186" s="169"/>
      <c r="K186" s="328"/>
      <c r="L186" s="330" t="str">
        <f t="shared" si="21"/>
        <v/>
      </c>
      <c r="M186" s="33"/>
      <c r="N186" s="168"/>
      <c r="O186" s="172"/>
      <c r="P186" s="183"/>
      <c r="Q186" s="183"/>
      <c r="R186" s="202"/>
      <c r="S186" s="34"/>
      <c r="T186" s="324"/>
      <c r="U186" s="327" t="str">
        <f t="shared" si="22"/>
        <v/>
      </c>
      <c r="V186" s="325"/>
      <c r="W186" s="320"/>
      <c r="X186" s="334"/>
      <c r="AB186" s="370">
        <v>184</v>
      </c>
      <c r="AC186" s="371">
        <f t="shared" si="28"/>
        <v>0</v>
      </c>
      <c r="AD186" s="371">
        <f t="shared" si="29"/>
        <v>0</v>
      </c>
      <c r="AE186" s="371">
        <f t="shared" si="30"/>
        <v>0</v>
      </c>
      <c r="AF186" s="371">
        <f t="shared" si="31"/>
        <v>0</v>
      </c>
      <c r="AG186" s="125" t="e">
        <f t="shared" si="32"/>
        <v>#N/A</v>
      </c>
    </row>
    <row r="187" spans="1:33" ht="15" customHeight="1" x14ac:dyDescent="0.35">
      <c r="A187" s="185">
        <v>185</v>
      </c>
      <c r="B187" s="172"/>
      <c r="C187" s="193"/>
      <c r="D187" s="324"/>
      <c r="E187" s="332" t="str">
        <f t="shared" si="9"/>
        <v/>
      </c>
      <c r="F187" s="170"/>
      <c r="G187" s="137"/>
      <c r="H187" s="339" t="str">
        <f t="shared" si="20"/>
        <v/>
      </c>
      <c r="I187" s="393"/>
      <c r="J187" s="169"/>
      <c r="K187" s="328"/>
      <c r="L187" s="330" t="str">
        <f t="shared" si="21"/>
        <v/>
      </c>
      <c r="M187" s="33"/>
      <c r="N187" s="168"/>
      <c r="O187" s="172"/>
      <c r="P187" s="183"/>
      <c r="Q187" s="183"/>
      <c r="R187" s="202"/>
      <c r="S187" s="34"/>
      <c r="T187" s="324"/>
      <c r="U187" s="327" t="str">
        <f t="shared" si="22"/>
        <v/>
      </c>
      <c r="V187" s="325"/>
      <c r="W187" s="320"/>
      <c r="X187" s="334"/>
      <c r="AB187" s="370">
        <v>185</v>
      </c>
      <c r="AC187" s="371">
        <f t="shared" si="28"/>
        <v>0</v>
      </c>
      <c r="AD187" s="371">
        <f t="shared" si="29"/>
        <v>0</v>
      </c>
      <c r="AE187" s="371">
        <f t="shared" si="30"/>
        <v>0</v>
      </c>
      <c r="AF187" s="371">
        <f t="shared" si="31"/>
        <v>0</v>
      </c>
      <c r="AG187" s="125" t="e">
        <f t="shared" si="32"/>
        <v>#N/A</v>
      </c>
    </row>
    <row r="188" spans="1:33" ht="15" customHeight="1" x14ac:dyDescent="0.35">
      <c r="A188" s="185">
        <v>186</v>
      </c>
      <c r="B188" s="172"/>
      <c r="C188" s="193"/>
      <c r="D188" s="324"/>
      <c r="E188" s="332" t="str">
        <f t="shared" si="9"/>
        <v/>
      </c>
      <c r="F188" s="170"/>
      <c r="G188" s="137"/>
      <c r="H188" s="339" t="str">
        <f t="shared" si="20"/>
        <v/>
      </c>
      <c r="I188" s="393"/>
      <c r="J188" s="169"/>
      <c r="K188" s="328"/>
      <c r="L188" s="330" t="str">
        <f t="shared" si="21"/>
        <v/>
      </c>
      <c r="M188" s="33"/>
      <c r="N188" s="168"/>
      <c r="O188" s="172"/>
      <c r="P188" s="183"/>
      <c r="Q188" s="183"/>
      <c r="R188" s="202"/>
      <c r="S188" s="34"/>
      <c r="T188" s="324"/>
      <c r="U188" s="327" t="str">
        <f t="shared" si="22"/>
        <v/>
      </c>
      <c r="V188" s="325"/>
      <c r="W188" s="320"/>
      <c r="X188" s="334"/>
      <c r="AB188" s="370">
        <v>186</v>
      </c>
      <c r="AC188" s="371">
        <f t="shared" si="28"/>
        <v>0</v>
      </c>
      <c r="AD188" s="371">
        <f t="shared" si="29"/>
        <v>0</v>
      </c>
      <c r="AE188" s="371">
        <f t="shared" si="30"/>
        <v>0</v>
      </c>
      <c r="AF188" s="371">
        <f t="shared" si="31"/>
        <v>0</v>
      </c>
      <c r="AG188" s="125" t="e">
        <f t="shared" si="32"/>
        <v>#N/A</v>
      </c>
    </row>
    <row r="189" spans="1:33" ht="15" customHeight="1" x14ac:dyDescent="0.35">
      <c r="A189" s="185">
        <v>187</v>
      </c>
      <c r="B189" s="172"/>
      <c r="C189" s="193"/>
      <c r="D189" s="324"/>
      <c r="E189" s="332" t="str">
        <f t="shared" si="9"/>
        <v/>
      </c>
      <c r="F189" s="170"/>
      <c r="G189" s="137"/>
      <c r="H189" s="339" t="str">
        <f t="shared" si="20"/>
        <v/>
      </c>
      <c r="I189" s="393"/>
      <c r="J189" s="169"/>
      <c r="K189" s="328"/>
      <c r="L189" s="330" t="str">
        <f t="shared" si="21"/>
        <v/>
      </c>
      <c r="M189" s="33"/>
      <c r="N189" s="168"/>
      <c r="O189" s="172"/>
      <c r="P189" s="183"/>
      <c r="Q189" s="183"/>
      <c r="R189" s="202"/>
      <c r="S189" s="34"/>
      <c r="T189" s="324"/>
      <c r="U189" s="327" t="str">
        <f t="shared" si="22"/>
        <v/>
      </c>
      <c r="V189" s="325"/>
      <c r="W189" s="320"/>
      <c r="X189" s="334"/>
      <c r="AB189" s="370">
        <v>187</v>
      </c>
      <c r="AC189" s="371">
        <f t="shared" si="28"/>
        <v>0</v>
      </c>
      <c r="AD189" s="371">
        <f t="shared" si="29"/>
        <v>0</v>
      </c>
      <c r="AE189" s="371">
        <f t="shared" si="30"/>
        <v>0</v>
      </c>
      <c r="AF189" s="371">
        <f t="shared" si="31"/>
        <v>0</v>
      </c>
      <c r="AG189" s="125" t="e">
        <f t="shared" si="32"/>
        <v>#N/A</v>
      </c>
    </row>
    <row r="190" spans="1:33" ht="15" customHeight="1" x14ac:dyDescent="0.35">
      <c r="A190" s="185">
        <v>188</v>
      </c>
      <c r="B190" s="172"/>
      <c r="C190" s="193"/>
      <c r="D190" s="324"/>
      <c r="E190" s="332" t="str">
        <f t="shared" si="9"/>
        <v/>
      </c>
      <c r="F190" s="170"/>
      <c r="G190" s="137"/>
      <c r="H190" s="339" t="str">
        <f t="shared" si="20"/>
        <v/>
      </c>
      <c r="I190" s="393"/>
      <c r="J190" s="169"/>
      <c r="K190" s="328"/>
      <c r="L190" s="330" t="str">
        <f t="shared" si="21"/>
        <v/>
      </c>
      <c r="M190" s="33"/>
      <c r="N190" s="168"/>
      <c r="O190" s="172"/>
      <c r="P190" s="183"/>
      <c r="Q190" s="183"/>
      <c r="R190" s="202"/>
      <c r="S190" s="34"/>
      <c r="T190" s="324"/>
      <c r="U190" s="327" t="str">
        <f t="shared" si="22"/>
        <v/>
      </c>
      <c r="V190" s="325"/>
      <c r="W190" s="320"/>
      <c r="X190" s="334"/>
      <c r="AB190" s="370">
        <v>188</v>
      </c>
      <c r="AC190" s="371">
        <f t="shared" si="28"/>
        <v>0</v>
      </c>
      <c r="AD190" s="371">
        <f t="shared" si="29"/>
        <v>0</v>
      </c>
      <c r="AE190" s="371">
        <f t="shared" si="30"/>
        <v>0</v>
      </c>
      <c r="AF190" s="371">
        <f t="shared" si="31"/>
        <v>0</v>
      </c>
      <c r="AG190" s="125" t="e">
        <f t="shared" si="32"/>
        <v>#N/A</v>
      </c>
    </row>
    <row r="191" spans="1:33" ht="15" customHeight="1" x14ac:dyDescent="0.35">
      <c r="A191" s="185">
        <v>189</v>
      </c>
      <c r="B191" s="172"/>
      <c r="C191" s="193"/>
      <c r="D191" s="324"/>
      <c r="E191" s="332" t="str">
        <f t="shared" si="9"/>
        <v/>
      </c>
      <c r="F191" s="170"/>
      <c r="G191" s="137"/>
      <c r="H191" s="339" t="str">
        <f t="shared" si="20"/>
        <v/>
      </c>
      <c r="I191" s="393"/>
      <c r="J191" s="169"/>
      <c r="K191" s="328"/>
      <c r="L191" s="330" t="str">
        <f t="shared" si="21"/>
        <v/>
      </c>
      <c r="M191" s="33"/>
      <c r="N191" s="168"/>
      <c r="O191" s="172"/>
      <c r="P191" s="183"/>
      <c r="Q191" s="183"/>
      <c r="R191" s="202"/>
      <c r="S191" s="34"/>
      <c r="T191" s="324"/>
      <c r="U191" s="327" t="str">
        <f t="shared" si="22"/>
        <v/>
      </c>
      <c r="V191" s="325"/>
      <c r="W191" s="320"/>
      <c r="X191" s="334"/>
      <c r="AB191" s="370">
        <v>189</v>
      </c>
      <c r="AC191" s="371">
        <f t="shared" si="28"/>
        <v>0</v>
      </c>
      <c r="AD191" s="371">
        <f t="shared" si="29"/>
        <v>0</v>
      </c>
      <c r="AE191" s="371">
        <f t="shared" si="30"/>
        <v>0</v>
      </c>
      <c r="AF191" s="371">
        <f t="shared" si="31"/>
        <v>0</v>
      </c>
      <c r="AG191" s="125" t="e">
        <f t="shared" si="32"/>
        <v>#N/A</v>
      </c>
    </row>
    <row r="192" spans="1:33" ht="15" customHeight="1" x14ac:dyDescent="0.35">
      <c r="A192" s="185">
        <v>190</v>
      </c>
      <c r="B192" s="172"/>
      <c r="C192" s="193"/>
      <c r="D192" s="324"/>
      <c r="E192" s="332" t="str">
        <f t="shared" si="9"/>
        <v/>
      </c>
      <c r="F192" s="170"/>
      <c r="G192" s="137"/>
      <c r="H192" s="339" t="str">
        <f t="shared" si="20"/>
        <v/>
      </c>
      <c r="I192" s="393"/>
      <c r="J192" s="169"/>
      <c r="K192" s="328"/>
      <c r="L192" s="330" t="str">
        <f t="shared" si="21"/>
        <v/>
      </c>
      <c r="M192" s="33"/>
      <c r="N192" s="168"/>
      <c r="O192" s="172"/>
      <c r="P192" s="183"/>
      <c r="Q192" s="183"/>
      <c r="R192" s="202"/>
      <c r="S192" s="34"/>
      <c r="T192" s="324"/>
      <c r="U192" s="327" t="str">
        <f t="shared" si="22"/>
        <v/>
      </c>
      <c r="V192" s="325"/>
      <c r="W192" s="320"/>
      <c r="X192" s="334"/>
      <c r="AB192" s="370">
        <v>190</v>
      </c>
      <c r="AC192" s="371">
        <f t="shared" si="28"/>
        <v>0</v>
      </c>
      <c r="AD192" s="371">
        <f t="shared" si="29"/>
        <v>0</v>
      </c>
      <c r="AE192" s="371">
        <f t="shared" si="30"/>
        <v>0</v>
      </c>
      <c r="AF192" s="371">
        <f t="shared" si="31"/>
        <v>0</v>
      </c>
      <c r="AG192" s="125" t="e">
        <f t="shared" si="32"/>
        <v>#N/A</v>
      </c>
    </row>
    <row r="193" spans="1:33" ht="15" customHeight="1" x14ac:dyDescent="0.35">
      <c r="A193" s="185">
        <v>191</v>
      </c>
      <c r="B193" s="172"/>
      <c r="C193" s="193"/>
      <c r="D193" s="324"/>
      <c r="E193" s="332" t="str">
        <f t="shared" si="9"/>
        <v/>
      </c>
      <c r="F193" s="170"/>
      <c r="G193" s="137"/>
      <c r="H193" s="339" t="str">
        <f t="shared" si="20"/>
        <v/>
      </c>
      <c r="I193" s="393"/>
      <c r="J193" s="169"/>
      <c r="K193" s="328"/>
      <c r="L193" s="330" t="str">
        <f t="shared" si="21"/>
        <v/>
      </c>
      <c r="M193" s="33"/>
      <c r="N193" s="168"/>
      <c r="O193" s="172"/>
      <c r="P193" s="183"/>
      <c r="Q193" s="183"/>
      <c r="R193" s="202"/>
      <c r="S193" s="34"/>
      <c r="T193" s="324"/>
      <c r="U193" s="327" t="str">
        <f t="shared" si="22"/>
        <v/>
      </c>
      <c r="V193" s="325"/>
      <c r="W193" s="320"/>
      <c r="X193" s="334"/>
      <c r="AB193" s="370">
        <v>191</v>
      </c>
      <c r="AC193" s="371">
        <f t="shared" si="28"/>
        <v>0</v>
      </c>
      <c r="AD193" s="371">
        <f t="shared" si="29"/>
        <v>0</v>
      </c>
      <c r="AE193" s="371">
        <f t="shared" si="30"/>
        <v>0</v>
      </c>
      <c r="AF193" s="371">
        <f t="shared" si="31"/>
        <v>0</v>
      </c>
      <c r="AG193" s="125" t="e">
        <f t="shared" si="32"/>
        <v>#N/A</v>
      </c>
    </row>
    <row r="194" spans="1:33" ht="15" customHeight="1" x14ac:dyDescent="0.35">
      <c r="A194" s="185">
        <v>192</v>
      </c>
      <c r="B194" s="172"/>
      <c r="C194" s="193"/>
      <c r="D194" s="324"/>
      <c r="E194" s="332" t="str">
        <f t="shared" si="9"/>
        <v/>
      </c>
      <c r="F194" s="170"/>
      <c r="G194" s="137"/>
      <c r="H194" s="339" t="str">
        <f t="shared" si="20"/>
        <v/>
      </c>
      <c r="I194" s="393"/>
      <c r="J194" s="169"/>
      <c r="K194" s="328"/>
      <c r="L194" s="330" t="str">
        <f t="shared" si="21"/>
        <v/>
      </c>
      <c r="M194" s="33"/>
      <c r="N194" s="168"/>
      <c r="O194" s="172"/>
      <c r="P194" s="183"/>
      <c r="Q194" s="183"/>
      <c r="R194" s="202"/>
      <c r="S194" s="34"/>
      <c r="T194" s="324"/>
      <c r="U194" s="327" t="str">
        <f t="shared" si="22"/>
        <v/>
      </c>
      <c r="V194" s="325"/>
      <c r="W194" s="320"/>
      <c r="X194" s="334"/>
      <c r="AB194" s="370">
        <v>192</v>
      </c>
      <c r="AC194" s="371">
        <f t="shared" si="28"/>
        <v>0</v>
      </c>
      <c r="AD194" s="371">
        <f t="shared" si="29"/>
        <v>0</v>
      </c>
      <c r="AE194" s="371">
        <f t="shared" si="30"/>
        <v>0</v>
      </c>
      <c r="AF194" s="371">
        <f t="shared" si="31"/>
        <v>0</v>
      </c>
      <c r="AG194" s="125" t="e">
        <f t="shared" si="32"/>
        <v>#N/A</v>
      </c>
    </row>
    <row r="195" spans="1:33" ht="15" customHeight="1" x14ac:dyDescent="0.35">
      <c r="A195" s="185">
        <v>193</v>
      </c>
      <c r="B195" s="172"/>
      <c r="C195" s="193"/>
      <c r="D195" s="324"/>
      <c r="E195" s="332" t="str">
        <f t="shared" si="9"/>
        <v/>
      </c>
      <c r="F195" s="170"/>
      <c r="G195" s="137"/>
      <c r="H195" s="339" t="str">
        <f t="shared" si="20"/>
        <v/>
      </c>
      <c r="I195" s="393"/>
      <c r="J195" s="169"/>
      <c r="K195" s="328"/>
      <c r="L195" s="330" t="str">
        <f t="shared" si="21"/>
        <v/>
      </c>
      <c r="M195" s="33"/>
      <c r="N195" s="168"/>
      <c r="O195" s="172"/>
      <c r="P195" s="183"/>
      <c r="Q195" s="183"/>
      <c r="R195" s="202"/>
      <c r="S195" s="34"/>
      <c r="T195" s="324"/>
      <c r="U195" s="327" t="str">
        <f t="shared" si="22"/>
        <v/>
      </c>
      <c r="V195" s="325"/>
      <c r="W195" s="320"/>
      <c r="X195" s="334"/>
      <c r="AB195" s="370">
        <v>193</v>
      </c>
      <c r="AC195" s="371">
        <f t="shared" si="28"/>
        <v>0</v>
      </c>
      <c r="AD195" s="371">
        <f t="shared" si="29"/>
        <v>0</v>
      </c>
      <c r="AE195" s="371">
        <f t="shared" si="30"/>
        <v>0</v>
      </c>
      <c r="AF195" s="371">
        <f t="shared" si="31"/>
        <v>0</v>
      </c>
      <c r="AG195" s="125" t="e">
        <f t="shared" si="32"/>
        <v>#N/A</v>
      </c>
    </row>
    <row r="196" spans="1:33" ht="15" customHeight="1" x14ac:dyDescent="0.35">
      <c r="A196" s="185">
        <v>194</v>
      </c>
      <c r="B196" s="172"/>
      <c r="C196" s="193"/>
      <c r="D196" s="324"/>
      <c r="E196" s="332" t="str">
        <f t="shared" si="9"/>
        <v/>
      </c>
      <c r="F196" s="170"/>
      <c r="G196" s="137"/>
      <c r="H196" s="339" t="str">
        <f t="shared" si="20"/>
        <v/>
      </c>
      <c r="I196" s="393"/>
      <c r="J196" s="169"/>
      <c r="K196" s="328"/>
      <c r="L196" s="330" t="str">
        <f t="shared" si="21"/>
        <v/>
      </c>
      <c r="M196" s="33"/>
      <c r="N196" s="168"/>
      <c r="O196" s="172"/>
      <c r="P196" s="183"/>
      <c r="Q196" s="183"/>
      <c r="R196" s="202"/>
      <c r="S196" s="34"/>
      <c r="T196" s="324"/>
      <c r="U196" s="327" t="str">
        <f t="shared" si="22"/>
        <v/>
      </c>
      <c r="V196" s="325"/>
      <c r="W196" s="320"/>
      <c r="X196" s="334"/>
      <c r="AB196" s="370">
        <v>194</v>
      </c>
      <c r="AC196" s="371">
        <f t="shared" si="28"/>
        <v>0</v>
      </c>
      <c r="AD196" s="371">
        <f t="shared" si="29"/>
        <v>0</v>
      </c>
      <c r="AE196" s="371">
        <f t="shared" si="30"/>
        <v>0</v>
      </c>
      <c r="AF196" s="371">
        <f t="shared" si="31"/>
        <v>0</v>
      </c>
      <c r="AG196" s="125" t="e">
        <f t="shared" si="32"/>
        <v>#N/A</v>
      </c>
    </row>
    <row r="197" spans="1:33" ht="15" customHeight="1" x14ac:dyDescent="0.35">
      <c r="A197" s="185">
        <v>195</v>
      </c>
      <c r="B197" s="172"/>
      <c r="C197" s="193"/>
      <c r="D197" s="324"/>
      <c r="E197" s="332" t="str">
        <f t="shared" si="9"/>
        <v/>
      </c>
      <c r="F197" s="170"/>
      <c r="G197" s="137"/>
      <c r="H197" s="339" t="str">
        <f t="shared" si="20"/>
        <v/>
      </c>
      <c r="I197" s="393"/>
      <c r="J197" s="169"/>
      <c r="K197" s="328"/>
      <c r="L197" s="330" t="str">
        <f t="shared" si="21"/>
        <v/>
      </c>
      <c r="M197" s="33"/>
      <c r="N197" s="168"/>
      <c r="O197" s="172"/>
      <c r="P197" s="183"/>
      <c r="Q197" s="183"/>
      <c r="R197" s="202"/>
      <c r="S197" s="34"/>
      <c r="T197" s="324"/>
      <c r="U197" s="327" t="str">
        <f t="shared" si="22"/>
        <v/>
      </c>
      <c r="V197" s="325"/>
      <c r="W197" s="320"/>
      <c r="X197" s="334"/>
      <c r="AB197" s="370">
        <v>195</v>
      </c>
      <c r="AC197" s="371">
        <f t="shared" si="28"/>
        <v>0</v>
      </c>
      <c r="AD197" s="371">
        <f t="shared" si="29"/>
        <v>0</v>
      </c>
      <c r="AE197" s="371">
        <f t="shared" si="30"/>
        <v>0</v>
      </c>
      <c r="AF197" s="371">
        <f t="shared" si="31"/>
        <v>0</v>
      </c>
      <c r="AG197" s="125" t="e">
        <f t="shared" si="32"/>
        <v>#N/A</v>
      </c>
    </row>
    <row r="198" spans="1:33" ht="15" customHeight="1" x14ac:dyDescent="0.35">
      <c r="A198" s="185">
        <v>196</v>
      </c>
      <c r="B198" s="172"/>
      <c r="C198" s="193"/>
      <c r="D198" s="324"/>
      <c r="E198" s="332" t="str">
        <f t="shared" si="9"/>
        <v/>
      </c>
      <c r="F198" s="170"/>
      <c r="G198" s="137"/>
      <c r="H198" s="339" t="str">
        <f t="shared" si="20"/>
        <v/>
      </c>
      <c r="I198" s="393"/>
      <c r="J198" s="169"/>
      <c r="K198" s="328"/>
      <c r="L198" s="330" t="str">
        <f t="shared" si="21"/>
        <v/>
      </c>
      <c r="M198" s="33"/>
      <c r="N198" s="168"/>
      <c r="O198" s="172"/>
      <c r="P198" s="183"/>
      <c r="Q198" s="183"/>
      <c r="R198" s="202"/>
      <c r="S198" s="34"/>
      <c r="T198" s="324"/>
      <c r="U198" s="327" t="str">
        <f t="shared" si="22"/>
        <v/>
      </c>
      <c r="V198" s="325"/>
      <c r="W198" s="320"/>
      <c r="X198" s="334"/>
      <c r="AB198" s="370">
        <v>196</v>
      </c>
      <c r="AC198" s="371">
        <f t="shared" si="28"/>
        <v>0</v>
      </c>
      <c r="AD198" s="371">
        <f t="shared" si="29"/>
        <v>0</v>
      </c>
      <c r="AE198" s="371">
        <f t="shared" si="30"/>
        <v>0</v>
      </c>
      <c r="AF198" s="371">
        <f t="shared" si="31"/>
        <v>0</v>
      </c>
      <c r="AG198" s="125" t="e">
        <f t="shared" si="32"/>
        <v>#N/A</v>
      </c>
    </row>
    <row r="199" spans="1:33" ht="15" customHeight="1" x14ac:dyDescent="0.35">
      <c r="A199" s="185">
        <v>197</v>
      </c>
      <c r="B199" s="172"/>
      <c r="C199" s="193"/>
      <c r="D199" s="324"/>
      <c r="E199" s="332" t="str">
        <f t="shared" si="9"/>
        <v/>
      </c>
      <c r="F199" s="170"/>
      <c r="G199" s="137"/>
      <c r="H199" s="339" t="str">
        <f t="shared" si="20"/>
        <v/>
      </c>
      <c r="I199" s="393"/>
      <c r="J199" s="169"/>
      <c r="K199" s="328"/>
      <c r="L199" s="330" t="str">
        <f t="shared" si="21"/>
        <v/>
      </c>
      <c r="M199" s="33"/>
      <c r="N199" s="168"/>
      <c r="O199" s="172"/>
      <c r="P199" s="183"/>
      <c r="Q199" s="183"/>
      <c r="R199" s="202"/>
      <c r="S199" s="34"/>
      <c r="T199" s="324"/>
      <c r="U199" s="327" t="str">
        <f t="shared" si="22"/>
        <v/>
      </c>
      <c r="V199" s="325"/>
      <c r="W199" s="320"/>
      <c r="X199" s="334"/>
      <c r="AB199" s="370">
        <v>197</v>
      </c>
      <c r="AC199" s="371">
        <f t="shared" si="28"/>
        <v>0</v>
      </c>
      <c r="AD199" s="371">
        <f t="shared" si="29"/>
        <v>0</v>
      </c>
      <c r="AE199" s="371">
        <f t="shared" si="30"/>
        <v>0</v>
      </c>
      <c r="AF199" s="371">
        <f t="shared" si="31"/>
        <v>0</v>
      </c>
      <c r="AG199" s="125" t="e">
        <f t="shared" si="32"/>
        <v>#N/A</v>
      </c>
    </row>
    <row r="200" spans="1:33" ht="15" customHeight="1" x14ac:dyDescent="0.35">
      <c r="A200" s="185">
        <v>198</v>
      </c>
      <c r="B200" s="172"/>
      <c r="C200" s="193"/>
      <c r="D200" s="324"/>
      <c r="E200" s="332" t="str">
        <f t="shared" si="9"/>
        <v/>
      </c>
      <c r="F200" s="170"/>
      <c r="G200" s="137"/>
      <c r="H200" s="339" t="str">
        <f t="shared" si="20"/>
        <v/>
      </c>
      <c r="I200" s="393"/>
      <c r="J200" s="169"/>
      <c r="K200" s="328"/>
      <c r="L200" s="330" t="str">
        <f t="shared" si="21"/>
        <v/>
      </c>
      <c r="M200" s="33"/>
      <c r="N200" s="168"/>
      <c r="O200" s="172"/>
      <c r="P200" s="183"/>
      <c r="Q200" s="183"/>
      <c r="R200" s="202"/>
      <c r="S200" s="34"/>
      <c r="T200" s="324"/>
      <c r="U200" s="327" t="str">
        <f t="shared" si="22"/>
        <v/>
      </c>
      <c r="V200" s="325"/>
      <c r="W200" s="320"/>
      <c r="X200" s="334"/>
      <c r="AB200" s="370">
        <v>198</v>
      </c>
      <c r="AC200" s="371">
        <f t="shared" si="28"/>
        <v>0</v>
      </c>
      <c r="AD200" s="371">
        <f t="shared" si="29"/>
        <v>0</v>
      </c>
      <c r="AE200" s="371">
        <f t="shared" si="30"/>
        <v>0</v>
      </c>
      <c r="AF200" s="371">
        <f t="shared" si="31"/>
        <v>0</v>
      </c>
      <c r="AG200" s="125" t="e">
        <f t="shared" si="32"/>
        <v>#N/A</v>
      </c>
    </row>
    <row r="201" spans="1:33" ht="15" customHeight="1" x14ac:dyDescent="0.35">
      <c r="A201" s="185">
        <v>199</v>
      </c>
      <c r="B201" s="172"/>
      <c r="C201" s="193"/>
      <c r="D201" s="324"/>
      <c r="E201" s="332" t="str">
        <f t="shared" si="9"/>
        <v/>
      </c>
      <c r="F201" s="170"/>
      <c r="G201" s="137"/>
      <c r="H201" s="339" t="str">
        <f t="shared" si="20"/>
        <v/>
      </c>
      <c r="I201" s="393"/>
      <c r="J201" s="169"/>
      <c r="K201" s="328"/>
      <c r="L201" s="330" t="str">
        <f t="shared" si="21"/>
        <v/>
      </c>
      <c r="M201" s="33"/>
      <c r="N201" s="168"/>
      <c r="O201" s="172"/>
      <c r="P201" s="183"/>
      <c r="Q201" s="183"/>
      <c r="R201" s="202"/>
      <c r="S201" s="34"/>
      <c r="T201" s="324"/>
      <c r="U201" s="327" t="str">
        <f t="shared" si="22"/>
        <v/>
      </c>
      <c r="V201" s="325"/>
      <c r="W201" s="320"/>
      <c r="X201" s="334"/>
      <c r="AB201" s="370">
        <v>199</v>
      </c>
      <c r="AC201" s="371">
        <f t="shared" si="28"/>
        <v>0</v>
      </c>
      <c r="AD201" s="371">
        <f t="shared" si="29"/>
        <v>0</v>
      </c>
      <c r="AE201" s="371">
        <f t="shared" si="30"/>
        <v>0</v>
      </c>
      <c r="AF201" s="371">
        <f t="shared" si="31"/>
        <v>0</v>
      </c>
      <c r="AG201" s="125" t="e">
        <f t="shared" si="32"/>
        <v>#N/A</v>
      </c>
    </row>
    <row r="202" spans="1:33" ht="15" customHeight="1" x14ac:dyDescent="0.35">
      <c r="A202" s="185">
        <v>200</v>
      </c>
      <c r="B202" s="172"/>
      <c r="C202" s="193"/>
      <c r="D202" s="324"/>
      <c r="E202" s="332" t="str">
        <f t="shared" si="9"/>
        <v/>
      </c>
      <c r="F202" s="170"/>
      <c r="G202" s="137"/>
      <c r="H202" s="339" t="str">
        <f t="shared" si="20"/>
        <v/>
      </c>
      <c r="I202" s="393"/>
      <c r="J202" s="169"/>
      <c r="K202" s="328"/>
      <c r="L202" s="330" t="str">
        <f t="shared" si="21"/>
        <v/>
      </c>
      <c r="M202" s="33"/>
      <c r="N202" s="168"/>
      <c r="O202" s="172"/>
      <c r="P202" s="183"/>
      <c r="Q202" s="183"/>
      <c r="R202" s="202"/>
      <c r="S202" s="34"/>
      <c r="T202" s="324"/>
      <c r="U202" s="327" t="str">
        <f t="shared" si="22"/>
        <v/>
      </c>
      <c r="V202" s="325"/>
      <c r="W202" s="320"/>
      <c r="X202" s="334"/>
      <c r="AB202" s="370">
        <v>200</v>
      </c>
      <c r="AC202" s="371">
        <f t="shared" si="28"/>
        <v>0</v>
      </c>
      <c r="AD202" s="371">
        <f t="shared" si="29"/>
        <v>0</v>
      </c>
      <c r="AE202" s="371">
        <f t="shared" si="30"/>
        <v>0</v>
      </c>
      <c r="AF202" s="371">
        <f t="shared" si="31"/>
        <v>0</v>
      </c>
      <c r="AG202" s="125" t="e">
        <f t="shared" si="32"/>
        <v>#N/A</v>
      </c>
    </row>
    <row r="203" spans="1:33" ht="15" customHeight="1" x14ac:dyDescent="0.35">
      <c r="A203" s="185">
        <v>201</v>
      </c>
      <c r="B203" s="172"/>
      <c r="C203" s="193"/>
      <c r="D203" s="324"/>
      <c r="E203" s="332" t="str">
        <f t="shared" si="9"/>
        <v/>
      </c>
      <c r="F203" s="170"/>
      <c r="G203" s="137"/>
      <c r="H203" s="339" t="str">
        <f t="shared" si="20"/>
        <v/>
      </c>
      <c r="I203" s="393"/>
      <c r="J203" s="169"/>
      <c r="K203" s="328"/>
      <c r="L203" s="330" t="str">
        <f t="shared" si="21"/>
        <v/>
      </c>
      <c r="M203" s="33"/>
      <c r="N203" s="168"/>
      <c r="O203" s="172"/>
      <c r="P203" s="183"/>
      <c r="Q203" s="183"/>
      <c r="R203" s="202"/>
      <c r="S203" s="34"/>
      <c r="T203" s="324"/>
      <c r="U203" s="327" t="str">
        <f t="shared" si="22"/>
        <v/>
      </c>
      <c r="V203" s="325"/>
      <c r="W203" s="320"/>
      <c r="X203" s="334"/>
      <c r="AB203" s="370">
        <v>201</v>
      </c>
      <c r="AC203" s="371">
        <f t="shared" si="28"/>
        <v>0</v>
      </c>
      <c r="AD203" s="371">
        <f t="shared" si="29"/>
        <v>0</v>
      </c>
      <c r="AE203" s="371">
        <f t="shared" si="30"/>
        <v>0</v>
      </c>
      <c r="AF203" s="371">
        <f t="shared" si="31"/>
        <v>0</v>
      </c>
      <c r="AG203" s="125" t="e">
        <f t="shared" si="32"/>
        <v>#N/A</v>
      </c>
    </row>
    <row r="204" spans="1:33" ht="15" customHeight="1" x14ac:dyDescent="0.35">
      <c r="A204" s="185">
        <v>202</v>
      </c>
      <c r="B204" s="172"/>
      <c r="C204" s="193"/>
      <c r="D204" s="324"/>
      <c r="E204" s="332" t="str">
        <f t="shared" si="9"/>
        <v/>
      </c>
      <c r="F204" s="170"/>
      <c r="G204" s="137"/>
      <c r="H204" s="339" t="str">
        <f t="shared" si="20"/>
        <v/>
      </c>
      <c r="I204" s="393"/>
      <c r="J204" s="169"/>
      <c r="K204" s="328"/>
      <c r="L204" s="330" t="str">
        <f t="shared" si="21"/>
        <v/>
      </c>
      <c r="M204" s="33"/>
      <c r="N204" s="168"/>
      <c r="O204" s="172"/>
      <c r="P204" s="183"/>
      <c r="Q204" s="183"/>
      <c r="R204" s="202"/>
      <c r="S204" s="34"/>
      <c r="T204" s="324"/>
      <c r="U204" s="327" t="str">
        <f t="shared" si="22"/>
        <v/>
      </c>
      <c r="V204" s="325"/>
      <c r="W204" s="320"/>
      <c r="X204" s="334"/>
      <c r="AB204" s="370">
        <v>202</v>
      </c>
      <c r="AC204" s="371">
        <f t="shared" si="28"/>
        <v>0</v>
      </c>
      <c r="AD204" s="371">
        <f t="shared" si="29"/>
        <v>0</v>
      </c>
      <c r="AE204" s="371">
        <f t="shared" si="30"/>
        <v>0</v>
      </c>
      <c r="AF204" s="371">
        <f t="shared" si="31"/>
        <v>0</v>
      </c>
      <c r="AG204" s="125" t="e">
        <f t="shared" si="32"/>
        <v>#N/A</v>
      </c>
    </row>
    <row r="205" spans="1:33" ht="15" customHeight="1" x14ac:dyDescent="0.35">
      <c r="A205" s="185">
        <v>203</v>
      </c>
      <c r="B205" s="172"/>
      <c r="C205" s="193"/>
      <c r="D205" s="324"/>
      <c r="E205" s="332" t="str">
        <f t="shared" si="9"/>
        <v/>
      </c>
      <c r="F205" s="170"/>
      <c r="G205" s="137"/>
      <c r="H205" s="339" t="str">
        <f t="shared" si="20"/>
        <v/>
      </c>
      <c r="I205" s="393"/>
      <c r="J205" s="169"/>
      <c r="K205" s="328"/>
      <c r="L205" s="330" t="str">
        <f t="shared" si="21"/>
        <v/>
      </c>
      <c r="M205" s="33"/>
      <c r="N205" s="168"/>
      <c r="O205" s="172"/>
      <c r="P205" s="183"/>
      <c r="Q205" s="183"/>
      <c r="R205" s="202"/>
      <c r="S205" s="34"/>
      <c r="T205" s="324"/>
      <c r="U205" s="327" t="str">
        <f t="shared" si="22"/>
        <v/>
      </c>
      <c r="V205" s="325"/>
      <c r="W205" s="320"/>
      <c r="X205" s="334"/>
      <c r="AB205" s="370">
        <v>203</v>
      </c>
      <c r="AC205" s="371">
        <f t="shared" si="28"/>
        <v>0</v>
      </c>
      <c r="AD205" s="371">
        <f t="shared" si="29"/>
        <v>0</v>
      </c>
      <c r="AE205" s="371">
        <f t="shared" si="30"/>
        <v>0</v>
      </c>
      <c r="AF205" s="371">
        <f t="shared" si="31"/>
        <v>0</v>
      </c>
      <c r="AG205" s="125" t="e">
        <f t="shared" si="32"/>
        <v>#N/A</v>
      </c>
    </row>
    <row r="206" spans="1:33" ht="15" customHeight="1" x14ac:dyDescent="0.35">
      <c r="A206" s="185">
        <v>204</v>
      </c>
      <c r="B206" s="172"/>
      <c r="C206" s="193"/>
      <c r="D206" s="324"/>
      <c r="E206" s="332" t="str">
        <f t="shared" si="9"/>
        <v/>
      </c>
      <c r="F206" s="170"/>
      <c r="G206" s="137"/>
      <c r="H206" s="339" t="str">
        <f t="shared" si="20"/>
        <v/>
      </c>
      <c r="I206" s="393"/>
      <c r="J206" s="169"/>
      <c r="K206" s="328"/>
      <c r="L206" s="330" t="str">
        <f t="shared" si="21"/>
        <v/>
      </c>
      <c r="M206" s="33"/>
      <c r="N206" s="168"/>
      <c r="O206" s="172"/>
      <c r="P206" s="183"/>
      <c r="Q206" s="183"/>
      <c r="R206" s="202"/>
      <c r="S206" s="34"/>
      <c r="T206" s="324"/>
      <c r="U206" s="327" t="str">
        <f t="shared" si="22"/>
        <v/>
      </c>
      <c r="V206" s="325"/>
      <c r="W206" s="320"/>
      <c r="X206" s="334"/>
      <c r="AB206" s="370">
        <v>204</v>
      </c>
      <c r="AC206" s="371">
        <f t="shared" si="28"/>
        <v>0</v>
      </c>
      <c r="AD206" s="371">
        <f t="shared" si="29"/>
        <v>0</v>
      </c>
      <c r="AE206" s="371">
        <f t="shared" si="30"/>
        <v>0</v>
      </c>
      <c r="AF206" s="371">
        <f t="shared" si="31"/>
        <v>0</v>
      </c>
      <c r="AG206" s="125" t="e">
        <f t="shared" si="32"/>
        <v>#N/A</v>
      </c>
    </row>
    <row r="207" spans="1:33" ht="15" customHeight="1" x14ac:dyDescent="0.35">
      <c r="A207" s="185">
        <v>205</v>
      </c>
      <c r="B207" s="172"/>
      <c r="C207" s="193"/>
      <c r="D207" s="324"/>
      <c r="E207" s="332" t="str">
        <f t="shared" si="9"/>
        <v/>
      </c>
      <c r="F207" s="170"/>
      <c r="G207" s="137"/>
      <c r="H207" s="339" t="str">
        <f t="shared" si="20"/>
        <v/>
      </c>
      <c r="I207" s="393"/>
      <c r="J207" s="169"/>
      <c r="K207" s="328"/>
      <c r="L207" s="330" t="str">
        <f t="shared" si="21"/>
        <v/>
      </c>
      <c r="M207" s="33"/>
      <c r="N207" s="168"/>
      <c r="O207" s="172"/>
      <c r="P207" s="183"/>
      <c r="Q207" s="183"/>
      <c r="R207" s="202"/>
      <c r="S207" s="34"/>
      <c r="T207" s="324"/>
      <c r="U207" s="327" t="str">
        <f t="shared" si="22"/>
        <v/>
      </c>
      <c r="V207" s="325"/>
      <c r="W207" s="320"/>
      <c r="X207" s="334"/>
      <c r="AB207" s="370">
        <v>205</v>
      </c>
      <c r="AC207" s="371">
        <f t="shared" si="28"/>
        <v>0</v>
      </c>
      <c r="AD207" s="371">
        <f t="shared" si="29"/>
        <v>0</v>
      </c>
      <c r="AE207" s="371">
        <f t="shared" si="30"/>
        <v>0</v>
      </c>
      <c r="AF207" s="371">
        <f t="shared" si="31"/>
        <v>0</v>
      </c>
      <c r="AG207" s="125" t="e">
        <f t="shared" si="32"/>
        <v>#N/A</v>
      </c>
    </row>
    <row r="208" spans="1:33" ht="15" customHeight="1" x14ac:dyDescent="0.35">
      <c r="A208" s="185">
        <v>206</v>
      </c>
      <c r="B208" s="172"/>
      <c r="C208" s="193"/>
      <c r="D208" s="324"/>
      <c r="E208" s="332" t="str">
        <f t="shared" si="9"/>
        <v/>
      </c>
      <c r="F208" s="170"/>
      <c r="G208" s="137"/>
      <c r="H208" s="339" t="str">
        <f t="shared" si="20"/>
        <v/>
      </c>
      <c r="I208" s="393"/>
      <c r="J208" s="169"/>
      <c r="K208" s="328"/>
      <c r="L208" s="330" t="str">
        <f t="shared" si="21"/>
        <v/>
      </c>
      <c r="M208" s="33"/>
      <c r="N208" s="168"/>
      <c r="O208" s="172"/>
      <c r="P208" s="183"/>
      <c r="Q208" s="183"/>
      <c r="R208" s="202"/>
      <c r="S208" s="34"/>
      <c r="T208" s="324"/>
      <c r="U208" s="327" t="str">
        <f t="shared" si="22"/>
        <v/>
      </c>
      <c r="V208" s="325"/>
      <c r="W208" s="320"/>
      <c r="X208" s="334"/>
      <c r="AB208" s="370">
        <v>206</v>
      </c>
      <c r="AC208" s="371">
        <f t="shared" si="28"/>
        <v>0</v>
      </c>
      <c r="AD208" s="371">
        <f t="shared" si="29"/>
        <v>0</v>
      </c>
      <c r="AE208" s="371">
        <f t="shared" si="30"/>
        <v>0</v>
      </c>
      <c r="AF208" s="371">
        <f t="shared" si="31"/>
        <v>0</v>
      </c>
      <c r="AG208" s="125" t="e">
        <f t="shared" si="32"/>
        <v>#N/A</v>
      </c>
    </row>
    <row r="209" spans="1:33" ht="15" customHeight="1" x14ac:dyDescent="0.35">
      <c r="A209" s="185">
        <v>207</v>
      </c>
      <c r="B209" s="172"/>
      <c r="C209" s="193"/>
      <c r="D209" s="324"/>
      <c r="E209" s="332" t="str">
        <f t="shared" si="9"/>
        <v/>
      </c>
      <c r="F209" s="170"/>
      <c r="G209" s="137"/>
      <c r="H209" s="339" t="str">
        <f t="shared" si="20"/>
        <v/>
      </c>
      <c r="I209" s="393"/>
      <c r="J209" s="169"/>
      <c r="K209" s="328"/>
      <c r="L209" s="330" t="str">
        <f t="shared" si="21"/>
        <v/>
      </c>
      <c r="M209" s="33"/>
      <c r="N209" s="168"/>
      <c r="O209" s="172"/>
      <c r="P209" s="183"/>
      <c r="Q209" s="183"/>
      <c r="R209" s="202"/>
      <c r="S209" s="34"/>
      <c r="T209" s="324"/>
      <c r="U209" s="327" t="str">
        <f t="shared" si="22"/>
        <v/>
      </c>
      <c r="V209" s="325"/>
      <c r="W209" s="320"/>
      <c r="X209" s="334"/>
      <c r="AB209" s="370">
        <v>207</v>
      </c>
      <c r="AC209" s="371">
        <f t="shared" si="28"/>
        <v>0</v>
      </c>
      <c r="AD209" s="371">
        <f t="shared" si="29"/>
        <v>0</v>
      </c>
      <c r="AE209" s="371">
        <f t="shared" si="30"/>
        <v>0</v>
      </c>
      <c r="AF209" s="371">
        <f t="shared" si="31"/>
        <v>0</v>
      </c>
      <c r="AG209" s="125" t="e">
        <f t="shared" si="32"/>
        <v>#N/A</v>
      </c>
    </row>
    <row r="210" spans="1:33" ht="15" customHeight="1" x14ac:dyDescent="0.35">
      <c r="A210" s="185">
        <v>208</v>
      </c>
      <c r="B210" s="172"/>
      <c r="C210" s="193"/>
      <c r="D210" s="324"/>
      <c r="E210" s="332" t="str">
        <f t="shared" si="9"/>
        <v/>
      </c>
      <c r="F210" s="170"/>
      <c r="G210" s="137"/>
      <c r="H210" s="339" t="str">
        <f t="shared" si="20"/>
        <v/>
      </c>
      <c r="I210" s="393"/>
      <c r="J210" s="169"/>
      <c r="K210" s="328"/>
      <c r="L210" s="330" t="str">
        <f t="shared" si="21"/>
        <v/>
      </c>
      <c r="M210" s="33"/>
      <c r="N210" s="168"/>
      <c r="O210" s="172"/>
      <c r="P210" s="183"/>
      <c r="Q210" s="183"/>
      <c r="R210" s="202"/>
      <c r="S210" s="34"/>
      <c r="T210" s="324"/>
      <c r="U210" s="327" t="str">
        <f t="shared" si="22"/>
        <v/>
      </c>
      <c r="V210" s="325"/>
      <c r="W210" s="320"/>
      <c r="X210" s="334"/>
      <c r="AB210" s="370">
        <v>208</v>
      </c>
      <c r="AC210" s="371">
        <f t="shared" si="28"/>
        <v>0</v>
      </c>
      <c r="AD210" s="371">
        <f t="shared" si="29"/>
        <v>0</v>
      </c>
      <c r="AE210" s="371">
        <f t="shared" si="30"/>
        <v>0</v>
      </c>
      <c r="AF210" s="371">
        <f t="shared" si="31"/>
        <v>0</v>
      </c>
      <c r="AG210" s="125" t="e">
        <f t="shared" si="32"/>
        <v>#N/A</v>
      </c>
    </row>
    <row r="211" spans="1:33" ht="15" customHeight="1" x14ac:dyDescent="0.35">
      <c r="A211" s="185">
        <v>209</v>
      </c>
      <c r="B211" s="172"/>
      <c r="C211" s="193"/>
      <c r="D211" s="324"/>
      <c r="E211" s="332" t="str">
        <f t="shared" si="9"/>
        <v/>
      </c>
      <c r="F211" s="170"/>
      <c r="G211" s="137"/>
      <c r="H211" s="339" t="str">
        <f t="shared" si="20"/>
        <v/>
      </c>
      <c r="I211" s="393"/>
      <c r="J211" s="169"/>
      <c r="K211" s="328"/>
      <c r="L211" s="330" t="str">
        <f t="shared" si="21"/>
        <v/>
      </c>
      <c r="M211" s="33"/>
      <c r="N211" s="168"/>
      <c r="O211" s="172"/>
      <c r="P211" s="183"/>
      <c r="Q211" s="183"/>
      <c r="R211" s="202"/>
      <c r="S211" s="34"/>
      <c r="T211" s="324"/>
      <c r="U211" s="327" t="str">
        <f t="shared" si="22"/>
        <v/>
      </c>
      <c r="V211" s="325"/>
      <c r="W211" s="320"/>
      <c r="X211" s="334"/>
      <c r="AB211" s="370">
        <v>209</v>
      </c>
      <c r="AC211" s="371">
        <f t="shared" si="28"/>
        <v>0</v>
      </c>
      <c r="AD211" s="371">
        <f t="shared" si="29"/>
        <v>0</v>
      </c>
      <c r="AE211" s="371">
        <f t="shared" si="30"/>
        <v>0</v>
      </c>
      <c r="AF211" s="371">
        <f t="shared" si="31"/>
        <v>0</v>
      </c>
      <c r="AG211" s="125" t="e">
        <f t="shared" si="32"/>
        <v>#N/A</v>
      </c>
    </row>
    <row r="212" spans="1:33" ht="15" customHeight="1" x14ac:dyDescent="0.35">
      <c r="A212" s="185">
        <v>210</v>
      </c>
      <c r="B212" s="172"/>
      <c r="C212" s="193"/>
      <c r="D212" s="324"/>
      <c r="E212" s="332" t="str">
        <f t="shared" si="9"/>
        <v/>
      </c>
      <c r="F212" s="170"/>
      <c r="G212" s="137"/>
      <c r="H212" s="339" t="str">
        <f t="shared" si="20"/>
        <v/>
      </c>
      <c r="I212" s="393"/>
      <c r="J212" s="169"/>
      <c r="K212" s="328"/>
      <c r="L212" s="330" t="str">
        <f t="shared" si="21"/>
        <v/>
      </c>
      <c r="M212" s="33"/>
      <c r="N212" s="168"/>
      <c r="O212" s="172"/>
      <c r="P212" s="183"/>
      <c r="Q212" s="183"/>
      <c r="R212" s="202"/>
      <c r="S212" s="34"/>
      <c r="T212" s="324"/>
      <c r="U212" s="327" t="str">
        <f t="shared" si="22"/>
        <v/>
      </c>
      <c r="V212" s="325"/>
      <c r="W212" s="320"/>
      <c r="X212" s="334"/>
      <c r="AB212" s="370">
        <v>210</v>
      </c>
      <c r="AC212" s="371">
        <f t="shared" si="28"/>
        <v>0</v>
      </c>
      <c r="AD212" s="371">
        <f t="shared" si="29"/>
        <v>0</v>
      </c>
      <c r="AE212" s="371">
        <f t="shared" si="30"/>
        <v>0</v>
      </c>
      <c r="AF212" s="371">
        <f t="shared" si="31"/>
        <v>0</v>
      </c>
      <c r="AG212" s="125" t="e">
        <f t="shared" si="32"/>
        <v>#N/A</v>
      </c>
    </row>
    <row r="213" spans="1:33" ht="15" customHeight="1" x14ac:dyDescent="0.35">
      <c r="A213" s="185">
        <v>211</v>
      </c>
      <c r="B213" s="172"/>
      <c r="C213" s="193"/>
      <c r="D213" s="324"/>
      <c r="E213" s="332" t="str">
        <f t="shared" si="9"/>
        <v/>
      </c>
      <c r="F213" s="170"/>
      <c r="G213" s="137"/>
      <c r="H213" s="339" t="str">
        <f t="shared" si="20"/>
        <v/>
      </c>
      <c r="I213" s="393"/>
      <c r="J213" s="169"/>
      <c r="K213" s="328"/>
      <c r="L213" s="330" t="str">
        <f t="shared" si="21"/>
        <v/>
      </c>
      <c r="M213" s="33"/>
      <c r="N213" s="168"/>
      <c r="O213" s="172"/>
      <c r="P213" s="183"/>
      <c r="Q213" s="183"/>
      <c r="R213" s="202"/>
      <c r="S213" s="34"/>
      <c r="T213" s="324"/>
      <c r="U213" s="327" t="str">
        <f t="shared" si="22"/>
        <v/>
      </c>
      <c r="V213" s="325"/>
      <c r="W213" s="320"/>
      <c r="X213" s="334"/>
      <c r="AB213" s="370">
        <v>211</v>
      </c>
      <c r="AC213" s="371">
        <f t="shared" si="28"/>
        <v>0</v>
      </c>
      <c r="AD213" s="371">
        <f t="shared" si="29"/>
        <v>0</v>
      </c>
      <c r="AE213" s="371">
        <f t="shared" si="30"/>
        <v>0</v>
      </c>
      <c r="AF213" s="371">
        <f t="shared" si="31"/>
        <v>0</v>
      </c>
      <c r="AG213" s="125" t="e">
        <f t="shared" si="32"/>
        <v>#N/A</v>
      </c>
    </row>
    <row r="214" spans="1:33" ht="15" customHeight="1" x14ac:dyDescent="0.35">
      <c r="A214" s="185">
        <v>212</v>
      </c>
      <c r="B214" s="172"/>
      <c r="C214" s="193"/>
      <c r="D214" s="324"/>
      <c r="E214" s="332" t="str">
        <f t="shared" si="9"/>
        <v/>
      </c>
      <c r="F214" s="170"/>
      <c r="G214" s="137"/>
      <c r="H214" s="339" t="str">
        <f t="shared" si="20"/>
        <v/>
      </c>
      <c r="I214" s="393"/>
      <c r="J214" s="169"/>
      <c r="K214" s="328"/>
      <c r="L214" s="330" t="str">
        <f t="shared" si="21"/>
        <v/>
      </c>
      <c r="M214" s="33"/>
      <c r="N214" s="168"/>
      <c r="O214" s="172"/>
      <c r="P214" s="183"/>
      <c r="Q214" s="183"/>
      <c r="R214" s="202"/>
      <c r="S214" s="34"/>
      <c r="T214" s="324"/>
      <c r="U214" s="327" t="str">
        <f t="shared" si="22"/>
        <v/>
      </c>
      <c r="V214" s="325"/>
      <c r="W214" s="320"/>
      <c r="X214" s="334"/>
      <c r="AB214" s="370">
        <v>212</v>
      </c>
      <c r="AC214" s="371">
        <f t="shared" si="28"/>
        <v>0</v>
      </c>
      <c r="AD214" s="371">
        <f t="shared" si="29"/>
        <v>0</v>
      </c>
      <c r="AE214" s="371">
        <f t="shared" si="30"/>
        <v>0</v>
      </c>
      <c r="AF214" s="371">
        <f t="shared" si="31"/>
        <v>0</v>
      </c>
      <c r="AG214" s="125" t="e">
        <f t="shared" si="32"/>
        <v>#N/A</v>
      </c>
    </row>
    <row r="215" spans="1:33" ht="15" customHeight="1" x14ac:dyDescent="0.35">
      <c r="A215" s="185">
        <v>213</v>
      </c>
      <c r="B215" s="172"/>
      <c r="C215" s="193"/>
      <c r="D215" s="324"/>
      <c r="E215" s="332" t="str">
        <f t="shared" si="9"/>
        <v/>
      </c>
      <c r="F215" s="170"/>
      <c r="G215" s="137"/>
      <c r="H215" s="339" t="str">
        <f t="shared" si="20"/>
        <v/>
      </c>
      <c r="I215" s="393"/>
      <c r="J215" s="169"/>
      <c r="K215" s="328"/>
      <c r="L215" s="330" t="str">
        <f t="shared" si="21"/>
        <v/>
      </c>
      <c r="M215" s="33"/>
      <c r="N215" s="168"/>
      <c r="O215" s="172"/>
      <c r="P215" s="183"/>
      <c r="Q215" s="183"/>
      <c r="R215" s="202"/>
      <c r="S215" s="34"/>
      <c r="T215" s="324"/>
      <c r="U215" s="327" t="str">
        <f t="shared" si="22"/>
        <v/>
      </c>
      <c r="V215" s="325"/>
      <c r="W215" s="320"/>
      <c r="X215" s="334"/>
      <c r="AB215" s="370">
        <v>213</v>
      </c>
      <c r="AC215" s="371">
        <f t="shared" si="28"/>
        <v>0</v>
      </c>
      <c r="AD215" s="371">
        <f t="shared" si="29"/>
        <v>0</v>
      </c>
      <c r="AE215" s="371">
        <f t="shared" si="30"/>
        <v>0</v>
      </c>
      <c r="AF215" s="371">
        <f t="shared" si="31"/>
        <v>0</v>
      </c>
      <c r="AG215" s="125" t="e">
        <f t="shared" si="32"/>
        <v>#N/A</v>
      </c>
    </row>
    <row r="216" spans="1:33" ht="15" customHeight="1" x14ac:dyDescent="0.35">
      <c r="A216" s="185">
        <v>214</v>
      </c>
      <c r="B216" s="172"/>
      <c r="C216" s="193"/>
      <c r="D216" s="324"/>
      <c r="E216" s="332" t="str">
        <f t="shared" si="9"/>
        <v/>
      </c>
      <c r="F216" s="170"/>
      <c r="G216" s="137"/>
      <c r="H216" s="339" t="str">
        <f t="shared" si="20"/>
        <v/>
      </c>
      <c r="I216" s="393"/>
      <c r="J216" s="169"/>
      <c r="K216" s="328"/>
      <c r="L216" s="330" t="str">
        <f t="shared" si="21"/>
        <v/>
      </c>
      <c r="M216" s="33"/>
      <c r="N216" s="168"/>
      <c r="O216" s="172"/>
      <c r="P216" s="183"/>
      <c r="Q216" s="183"/>
      <c r="R216" s="202"/>
      <c r="S216" s="34"/>
      <c r="T216" s="324"/>
      <c r="U216" s="327" t="str">
        <f t="shared" si="22"/>
        <v/>
      </c>
      <c r="V216" s="325"/>
      <c r="W216" s="320"/>
      <c r="X216" s="334"/>
      <c r="AB216" s="370">
        <v>214</v>
      </c>
      <c r="AC216" s="371">
        <f t="shared" si="28"/>
        <v>0</v>
      </c>
      <c r="AD216" s="371">
        <f t="shared" si="29"/>
        <v>0</v>
      </c>
      <c r="AE216" s="371">
        <f t="shared" si="30"/>
        <v>0</v>
      </c>
      <c r="AF216" s="371">
        <f t="shared" si="31"/>
        <v>0</v>
      </c>
      <c r="AG216" s="125" t="e">
        <f t="shared" si="32"/>
        <v>#N/A</v>
      </c>
    </row>
    <row r="217" spans="1:33" ht="15" customHeight="1" x14ac:dyDescent="0.35">
      <c r="A217" s="185">
        <v>215</v>
      </c>
      <c r="B217" s="172"/>
      <c r="C217" s="193"/>
      <c r="D217" s="324"/>
      <c r="E217" s="332" t="str">
        <f t="shared" si="9"/>
        <v/>
      </c>
      <c r="F217" s="170"/>
      <c r="G217" s="137"/>
      <c r="H217" s="339" t="str">
        <f t="shared" si="20"/>
        <v/>
      </c>
      <c r="I217" s="393"/>
      <c r="J217" s="169"/>
      <c r="K217" s="328"/>
      <c r="L217" s="330" t="str">
        <f t="shared" si="21"/>
        <v/>
      </c>
      <c r="M217" s="33"/>
      <c r="N217" s="168"/>
      <c r="O217" s="172"/>
      <c r="P217" s="183"/>
      <c r="Q217" s="183"/>
      <c r="R217" s="202"/>
      <c r="S217" s="34"/>
      <c r="T217" s="324"/>
      <c r="U217" s="327" t="str">
        <f t="shared" si="22"/>
        <v/>
      </c>
      <c r="V217" s="325"/>
      <c r="W217" s="320"/>
      <c r="X217" s="334"/>
      <c r="AB217" s="370">
        <v>215</v>
      </c>
      <c r="AC217" s="371">
        <f t="shared" si="28"/>
        <v>0</v>
      </c>
      <c r="AD217" s="371">
        <f t="shared" si="29"/>
        <v>0</v>
      </c>
      <c r="AE217" s="371">
        <f t="shared" si="30"/>
        <v>0</v>
      </c>
      <c r="AF217" s="371">
        <f t="shared" si="31"/>
        <v>0</v>
      </c>
      <c r="AG217" s="125" t="e">
        <f t="shared" si="32"/>
        <v>#N/A</v>
      </c>
    </row>
    <row r="218" spans="1:33" ht="15" customHeight="1" x14ac:dyDescent="0.35">
      <c r="A218" s="185">
        <v>216</v>
      </c>
      <c r="B218" s="172"/>
      <c r="C218" s="193"/>
      <c r="D218" s="324"/>
      <c r="E218" s="332" t="str">
        <f t="shared" si="9"/>
        <v/>
      </c>
      <c r="F218" s="170"/>
      <c r="G218" s="137"/>
      <c r="H218" s="339" t="str">
        <f t="shared" si="20"/>
        <v/>
      </c>
      <c r="I218" s="393"/>
      <c r="J218" s="169"/>
      <c r="K218" s="328"/>
      <c r="L218" s="330" t="str">
        <f t="shared" si="21"/>
        <v/>
      </c>
      <c r="M218" s="33"/>
      <c r="N218" s="168"/>
      <c r="O218" s="172"/>
      <c r="P218" s="183"/>
      <c r="Q218" s="183"/>
      <c r="R218" s="202"/>
      <c r="S218" s="34"/>
      <c r="T218" s="324"/>
      <c r="U218" s="327" t="str">
        <f t="shared" si="22"/>
        <v/>
      </c>
      <c r="V218" s="325"/>
      <c r="W218" s="320"/>
      <c r="X218" s="334"/>
      <c r="AB218" s="370">
        <v>216</v>
      </c>
      <c r="AC218" s="371">
        <f t="shared" si="28"/>
        <v>0</v>
      </c>
      <c r="AD218" s="371">
        <f t="shared" si="29"/>
        <v>0</v>
      </c>
      <c r="AE218" s="371">
        <f t="shared" si="30"/>
        <v>0</v>
      </c>
      <c r="AF218" s="371">
        <f t="shared" si="31"/>
        <v>0</v>
      </c>
      <c r="AG218" s="125" t="e">
        <f t="shared" si="32"/>
        <v>#N/A</v>
      </c>
    </row>
    <row r="219" spans="1:33" ht="15" customHeight="1" x14ac:dyDescent="0.35">
      <c r="A219" s="185">
        <v>217</v>
      </c>
      <c r="B219" s="172"/>
      <c r="C219" s="193"/>
      <c r="D219" s="324"/>
      <c r="E219" s="332" t="str">
        <f t="shared" si="9"/>
        <v/>
      </c>
      <c r="F219" s="170"/>
      <c r="G219" s="137"/>
      <c r="H219" s="339" t="str">
        <f t="shared" si="20"/>
        <v/>
      </c>
      <c r="I219" s="393"/>
      <c r="J219" s="169"/>
      <c r="K219" s="328"/>
      <c r="L219" s="330" t="str">
        <f t="shared" si="21"/>
        <v/>
      </c>
      <c r="M219" s="33"/>
      <c r="N219" s="168"/>
      <c r="O219" s="172"/>
      <c r="P219" s="183"/>
      <c r="Q219" s="183"/>
      <c r="R219" s="202"/>
      <c r="S219" s="34"/>
      <c r="T219" s="324"/>
      <c r="U219" s="327" t="str">
        <f t="shared" si="22"/>
        <v/>
      </c>
      <c r="V219" s="325"/>
      <c r="W219" s="320"/>
      <c r="X219" s="334"/>
      <c r="AB219" s="370">
        <v>217</v>
      </c>
      <c r="AC219" s="371">
        <f t="shared" si="28"/>
        <v>0</v>
      </c>
      <c r="AD219" s="371">
        <f t="shared" si="29"/>
        <v>0</v>
      </c>
      <c r="AE219" s="371">
        <f t="shared" si="30"/>
        <v>0</v>
      </c>
      <c r="AF219" s="371">
        <f t="shared" si="31"/>
        <v>0</v>
      </c>
      <c r="AG219" s="125" t="e">
        <f t="shared" si="32"/>
        <v>#N/A</v>
      </c>
    </row>
    <row r="220" spans="1:33" ht="15" customHeight="1" x14ac:dyDescent="0.35">
      <c r="A220" s="185">
        <v>218</v>
      </c>
      <c r="B220" s="172"/>
      <c r="C220" s="193"/>
      <c r="D220" s="324"/>
      <c r="E220" s="332" t="str">
        <f t="shared" si="9"/>
        <v/>
      </c>
      <c r="F220" s="170"/>
      <c r="G220" s="137"/>
      <c r="H220" s="339" t="str">
        <f t="shared" si="20"/>
        <v/>
      </c>
      <c r="I220" s="393"/>
      <c r="J220" s="169"/>
      <c r="K220" s="328"/>
      <c r="L220" s="330" t="str">
        <f t="shared" si="21"/>
        <v/>
      </c>
      <c r="M220" s="33"/>
      <c r="N220" s="168"/>
      <c r="O220" s="172"/>
      <c r="P220" s="183"/>
      <c r="Q220" s="183"/>
      <c r="R220" s="202"/>
      <c r="S220" s="34"/>
      <c r="T220" s="324"/>
      <c r="U220" s="327" t="str">
        <f t="shared" si="22"/>
        <v/>
      </c>
      <c r="V220" s="325"/>
      <c r="W220" s="320"/>
      <c r="X220" s="334"/>
      <c r="AB220" s="370">
        <v>218</v>
      </c>
      <c r="AC220" s="371">
        <f t="shared" si="28"/>
        <v>0</v>
      </c>
      <c r="AD220" s="371">
        <f t="shared" si="29"/>
        <v>0</v>
      </c>
      <c r="AE220" s="371">
        <f t="shared" si="30"/>
        <v>0</v>
      </c>
      <c r="AF220" s="371">
        <f t="shared" si="31"/>
        <v>0</v>
      </c>
      <c r="AG220" s="125" t="e">
        <f t="shared" si="32"/>
        <v>#N/A</v>
      </c>
    </row>
    <row r="221" spans="1:33" ht="15" customHeight="1" x14ac:dyDescent="0.35">
      <c r="A221" s="185">
        <v>219</v>
      </c>
      <c r="B221" s="172"/>
      <c r="C221" s="193"/>
      <c r="D221" s="324"/>
      <c r="E221" s="332" t="str">
        <f t="shared" si="9"/>
        <v/>
      </c>
      <c r="F221" s="170"/>
      <c r="G221" s="137"/>
      <c r="H221" s="339" t="str">
        <f t="shared" si="20"/>
        <v/>
      </c>
      <c r="I221" s="393"/>
      <c r="J221" s="169"/>
      <c r="K221" s="328"/>
      <c r="L221" s="330" t="str">
        <f t="shared" si="21"/>
        <v/>
      </c>
      <c r="M221" s="33"/>
      <c r="N221" s="168"/>
      <c r="O221" s="172"/>
      <c r="P221" s="183"/>
      <c r="Q221" s="183"/>
      <c r="R221" s="202"/>
      <c r="S221" s="34"/>
      <c r="T221" s="324"/>
      <c r="U221" s="327" t="str">
        <f t="shared" si="22"/>
        <v/>
      </c>
      <c r="V221" s="325"/>
      <c r="W221" s="320"/>
      <c r="X221" s="334"/>
      <c r="AB221" s="370">
        <v>219</v>
      </c>
      <c r="AC221" s="371">
        <f t="shared" si="28"/>
        <v>0</v>
      </c>
      <c r="AD221" s="371">
        <f t="shared" si="29"/>
        <v>0</v>
      </c>
      <c r="AE221" s="371">
        <f t="shared" si="30"/>
        <v>0</v>
      </c>
      <c r="AF221" s="371">
        <f t="shared" si="31"/>
        <v>0</v>
      </c>
      <c r="AG221" s="125" t="e">
        <f t="shared" si="32"/>
        <v>#N/A</v>
      </c>
    </row>
    <row r="222" spans="1:33" ht="15" customHeight="1" x14ac:dyDescent="0.35">
      <c r="A222" s="185">
        <v>220</v>
      </c>
      <c r="B222" s="172"/>
      <c r="C222" s="193"/>
      <c r="D222" s="324"/>
      <c r="E222" s="332" t="str">
        <f t="shared" si="9"/>
        <v/>
      </c>
      <c r="F222" s="170"/>
      <c r="G222" s="137"/>
      <c r="H222" s="339" t="str">
        <f t="shared" si="20"/>
        <v/>
      </c>
      <c r="I222" s="393"/>
      <c r="J222" s="169"/>
      <c r="K222" s="328"/>
      <c r="L222" s="330" t="str">
        <f t="shared" si="21"/>
        <v/>
      </c>
      <c r="M222" s="33"/>
      <c r="N222" s="168"/>
      <c r="O222" s="172"/>
      <c r="P222" s="183"/>
      <c r="Q222" s="183"/>
      <c r="R222" s="202"/>
      <c r="S222" s="34"/>
      <c r="T222" s="324"/>
      <c r="U222" s="327" t="str">
        <f t="shared" si="22"/>
        <v/>
      </c>
      <c r="V222" s="325"/>
      <c r="W222" s="320"/>
      <c r="X222" s="334"/>
      <c r="AB222" s="370">
        <v>220</v>
      </c>
      <c r="AC222" s="371">
        <f t="shared" si="28"/>
        <v>0</v>
      </c>
      <c r="AD222" s="371">
        <f t="shared" si="29"/>
        <v>0</v>
      </c>
      <c r="AE222" s="371">
        <f t="shared" si="30"/>
        <v>0</v>
      </c>
      <c r="AF222" s="371">
        <f t="shared" si="31"/>
        <v>0</v>
      </c>
      <c r="AG222" s="125" t="e">
        <f t="shared" si="32"/>
        <v>#N/A</v>
      </c>
    </row>
    <row r="223" spans="1:33" ht="15" customHeight="1" x14ac:dyDescent="0.35">
      <c r="A223" s="185">
        <v>221</v>
      </c>
      <c r="B223" s="172"/>
      <c r="C223" s="193"/>
      <c r="D223" s="324"/>
      <c r="E223" s="332" t="str">
        <f t="shared" si="9"/>
        <v/>
      </c>
      <c r="F223" s="170"/>
      <c r="G223" s="137"/>
      <c r="H223" s="339" t="str">
        <f t="shared" si="20"/>
        <v/>
      </c>
      <c r="I223" s="393"/>
      <c r="J223" s="169"/>
      <c r="K223" s="328"/>
      <c r="L223" s="330" t="str">
        <f t="shared" si="21"/>
        <v/>
      </c>
      <c r="M223" s="33"/>
      <c r="N223" s="168"/>
      <c r="O223" s="172"/>
      <c r="P223" s="183"/>
      <c r="Q223" s="183"/>
      <c r="R223" s="202"/>
      <c r="S223" s="34"/>
      <c r="T223" s="324"/>
      <c r="U223" s="327" t="str">
        <f t="shared" si="22"/>
        <v/>
      </c>
      <c r="V223" s="325"/>
      <c r="W223" s="320"/>
      <c r="X223" s="334"/>
      <c r="AB223" s="370">
        <v>221</v>
      </c>
      <c r="AC223" s="371">
        <f t="shared" si="28"/>
        <v>0</v>
      </c>
      <c r="AD223" s="371">
        <f t="shared" si="29"/>
        <v>0</v>
      </c>
      <c r="AE223" s="371">
        <f t="shared" si="30"/>
        <v>0</v>
      </c>
      <c r="AF223" s="371">
        <f t="shared" si="31"/>
        <v>0</v>
      </c>
      <c r="AG223" s="125" t="e">
        <f t="shared" si="32"/>
        <v>#N/A</v>
      </c>
    </row>
    <row r="224" spans="1:33" ht="15" customHeight="1" x14ac:dyDescent="0.35">
      <c r="A224" s="185">
        <v>222</v>
      </c>
      <c r="B224" s="172"/>
      <c r="C224" s="193"/>
      <c r="D224" s="324"/>
      <c r="E224" s="332" t="str">
        <f t="shared" si="9"/>
        <v/>
      </c>
      <c r="F224" s="170"/>
      <c r="G224" s="137"/>
      <c r="H224" s="339" t="str">
        <f t="shared" si="20"/>
        <v/>
      </c>
      <c r="I224" s="393"/>
      <c r="J224" s="169"/>
      <c r="K224" s="328"/>
      <c r="L224" s="330" t="str">
        <f t="shared" si="21"/>
        <v/>
      </c>
      <c r="M224" s="33"/>
      <c r="N224" s="168"/>
      <c r="O224" s="172"/>
      <c r="P224" s="183"/>
      <c r="Q224" s="183"/>
      <c r="R224" s="202"/>
      <c r="S224" s="34"/>
      <c r="T224" s="324"/>
      <c r="U224" s="327" t="str">
        <f t="shared" si="22"/>
        <v/>
      </c>
      <c r="V224" s="325"/>
      <c r="W224" s="320"/>
      <c r="X224" s="334"/>
      <c r="AB224" s="370">
        <v>222</v>
      </c>
      <c r="AC224" s="371">
        <f t="shared" si="28"/>
        <v>0</v>
      </c>
      <c r="AD224" s="371">
        <f t="shared" si="29"/>
        <v>0</v>
      </c>
      <c r="AE224" s="371">
        <f t="shared" si="30"/>
        <v>0</v>
      </c>
      <c r="AF224" s="371">
        <f t="shared" si="31"/>
        <v>0</v>
      </c>
      <c r="AG224" s="125" t="e">
        <f t="shared" si="32"/>
        <v>#N/A</v>
      </c>
    </row>
    <row r="225" spans="1:33" ht="15" customHeight="1" x14ac:dyDescent="0.35">
      <c r="A225" s="185">
        <v>223</v>
      </c>
      <c r="B225" s="172"/>
      <c r="C225" s="193"/>
      <c r="D225" s="324"/>
      <c r="E225" s="332" t="str">
        <f t="shared" si="9"/>
        <v/>
      </c>
      <c r="F225" s="170"/>
      <c r="G225" s="137"/>
      <c r="H225" s="339" t="str">
        <f t="shared" si="20"/>
        <v/>
      </c>
      <c r="I225" s="393"/>
      <c r="J225" s="169"/>
      <c r="K225" s="328"/>
      <c r="L225" s="330" t="str">
        <f t="shared" si="21"/>
        <v/>
      </c>
      <c r="M225" s="33"/>
      <c r="N225" s="168"/>
      <c r="O225" s="172"/>
      <c r="P225" s="183"/>
      <c r="Q225" s="183"/>
      <c r="R225" s="202"/>
      <c r="S225" s="34"/>
      <c r="T225" s="324"/>
      <c r="U225" s="327" t="str">
        <f t="shared" si="22"/>
        <v/>
      </c>
      <c r="V225" s="325"/>
      <c r="W225" s="320"/>
      <c r="X225" s="334"/>
      <c r="AB225" s="370">
        <v>223</v>
      </c>
      <c r="AC225" s="371">
        <f t="shared" si="28"/>
        <v>0</v>
      </c>
      <c r="AD225" s="371">
        <f t="shared" si="29"/>
        <v>0</v>
      </c>
      <c r="AE225" s="371">
        <f t="shared" si="30"/>
        <v>0</v>
      </c>
      <c r="AF225" s="371">
        <f t="shared" si="31"/>
        <v>0</v>
      </c>
      <c r="AG225" s="125" t="e">
        <f t="shared" si="32"/>
        <v>#N/A</v>
      </c>
    </row>
    <row r="226" spans="1:33" ht="15" customHeight="1" x14ac:dyDescent="0.35">
      <c r="A226" s="185">
        <v>224</v>
      </c>
      <c r="B226" s="172"/>
      <c r="C226" s="193"/>
      <c r="D226" s="324"/>
      <c r="E226" s="332" t="str">
        <f t="shared" si="9"/>
        <v/>
      </c>
      <c r="F226" s="170"/>
      <c r="G226" s="137"/>
      <c r="H226" s="339" t="str">
        <f t="shared" si="20"/>
        <v/>
      </c>
      <c r="I226" s="393"/>
      <c r="J226" s="169"/>
      <c r="K226" s="328"/>
      <c r="L226" s="330" t="str">
        <f t="shared" si="21"/>
        <v/>
      </c>
      <c r="M226" s="33"/>
      <c r="N226" s="168"/>
      <c r="O226" s="172"/>
      <c r="P226" s="183"/>
      <c r="Q226" s="183"/>
      <c r="R226" s="202"/>
      <c r="S226" s="34"/>
      <c r="T226" s="324"/>
      <c r="U226" s="327" t="str">
        <f t="shared" si="22"/>
        <v/>
      </c>
      <c r="V226" s="325"/>
      <c r="W226" s="320"/>
      <c r="X226" s="334"/>
      <c r="AB226" s="370">
        <v>224</v>
      </c>
      <c r="AC226" s="371">
        <f t="shared" si="28"/>
        <v>0</v>
      </c>
      <c r="AD226" s="371">
        <f t="shared" si="29"/>
        <v>0</v>
      </c>
      <c r="AE226" s="371">
        <f t="shared" si="30"/>
        <v>0</v>
      </c>
      <c r="AF226" s="371">
        <f t="shared" si="31"/>
        <v>0</v>
      </c>
      <c r="AG226" s="125" t="e">
        <f t="shared" si="32"/>
        <v>#N/A</v>
      </c>
    </row>
    <row r="227" spans="1:33" ht="15" customHeight="1" x14ac:dyDescent="0.35">
      <c r="A227" s="185">
        <v>225</v>
      </c>
      <c r="B227" s="172"/>
      <c r="C227" s="193"/>
      <c r="D227" s="324"/>
      <c r="E227" s="332" t="str">
        <f t="shared" si="9"/>
        <v/>
      </c>
      <c r="F227" s="170"/>
      <c r="G227" s="137"/>
      <c r="H227" s="339" t="str">
        <f t="shared" si="20"/>
        <v/>
      </c>
      <c r="I227" s="393"/>
      <c r="J227" s="169"/>
      <c r="K227" s="328"/>
      <c r="L227" s="330" t="str">
        <f t="shared" si="21"/>
        <v/>
      </c>
      <c r="M227" s="33"/>
      <c r="N227" s="168"/>
      <c r="O227" s="172"/>
      <c r="P227" s="183"/>
      <c r="Q227" s="183"/>
      <c r="R227" s="202"/>
      <c r="S227" s="34"/>
      <c r="T227" s="324"/>
      <c r="U227" s="327" t="str">
        <f t="shared" si="22"/>
        <v/>
      </c>
      <c r="V227" s="325"/>
      <c r="W227" s="320"/>
      <c r="X227" s="334"/>
      <c r="AB227" s="370">
        <v>225</v>
      </c>
      <c r="AC227" s="371">
        <f t="shared" si="28"/>
        <v>0</v>
      </c>
      <c r="AD227" s="371">
        <f t="shared" si="29"/>
        <v>0</v>
      </c>
      <c r="AE227" s="371">
        <f t="shared" si="30"/>
        <v>0</v>
      </c>
      <c r="AF227" s="371">
        <f t="shared" si="31"/>
        <v>0</v>
      </c>
      <c r="AG227" s="125" t="e">
        <f t="shared" si="32"/>
        <v>#N/A</v>
      </c>
    </row>
    <row r="228" spans="1:33" ht="15" customHeight="1" x14ac:dyDescent="0.35">
      <c r="A228" s="185">
        <v>226</v>
      </c>
      <c r="B228" s="172"/>
      <c r="C228" s="193"/>
      <c r="D228" s="324"/>
      <c r="E228" s="332" t="str">
        <f t="shared" si="9"/>
        <v/>
      </c>
      <c r="F228" s="170"/>
      <c r="G228" s="137"/>
      <c r="H228" s="339" t="str">
        <f t="shared" si="20"/>
        <v/>
      </c>
      <c r="I228" s="393"/>
      <c r="J228" s="169"/>
      <c r="K228" s="328"/>
      <c r="L228" s="330" t="str">
        <f t="shared" si="21"/>
        <v/>
      </c>
      <c r="M228" s="33"/>
      <c r="N228" s="168"/>
      <c r="O228" s="172"/>
      <c r="P228" s="183"/>
      <c r="Q228" s="183"/>
      <c r="R228" s="202"/>
      <c r="S228" s="34"/>
      <c r="T228" s="324"/>
      <c r="U228" s="327" t="str">
        <f t="shared" si="22"/>
        <v/>
      </c>
      <c r="V228" s="325"/>
      <c r="W228" s="320"/>
      <c r="X228" s="334"/>
      <c r="AB228" s="370">
        <v>226</v>
      </c>
      <c r="AC228" s="371">
        <f t="shared" si="28"/>
        <v>0</v>
      </c>
      <c r="AD228" s="371">
        <f t="shared" si="29"/>
        <v>0</v>
      </c>
      <c r="AE228" s="371">
        <f t="shared" si="30"/>
        <v>0</v>
      </c>
      <c r="AF228" s="371">
        <f t="shared" si="31"/>
        <v>0</v>
      </c>
      <c r="AG228" s="125" t="e">
        <f t="shared" si="32"/>
        <v>#N/A</v>
      </c>
    </row>
    <row r="229" spans="1:33" ht="15" customHeight="1" x14ac:dyDescent="0.35">
      <c r="A229" s="185">
        <v>227</v>
      </c>
      <c r="B229" s="172"/>
      <c r="C229" s="193"/>
      <c r="D229" s="324"/>
      <c r="E229" s="332" t="str">
        <f t="shared" si="9"/>
        <v/>
      </c>
      <c r="F229" s="170"/>
      <c r="G229" s="137"/>
      <c r="H229" s="339" t="str">
        <f t="shared" si="20"/>
        <v/>
      </c>
      <c r="I229" s="393"/>
      <c r="J229" s="169"/>
      <c r="K229" s="328"/>
      <c r="L229" s="330" t="str">
        <f t="shared" si="21"/>
        <v/>
      </c>
      <c r="M229" s="33"/>
      <c r="N229" s="168"/>
      <c r="O229" s="172"/>
      <c r="P229" s="183"/>
      <c r="Q229" s="183"/>
      <c r="R229" s="202"/>
      <c r="S229" s="34"/>
      <c r="T229" s="324"/>
      <c r="U229" s="327" t="str">
        <f t="shared" si="22"/>
        <v/>
      </c>
      <c r="V229" s="325"/>
      <c r="W229" s="320"/>
      <c r="X229" s="334"/>
      <c r="AB229" s="370">
        <v>227</v>
      </c>
      <c r="AC229" s="371">
        <f t="shared" si="28"/>
        <v>0</v>
      </c>
      <c r="AD229" s="371">
        <f t="shared" si="29"/>
        <v>0</v>
      </c>
      <c r="AE229" s="371">
        <f t="shared" si="30"/>
        <v>0</v>
      </c>
      <c r="AF229" s="371">
        <f t="shared" si="31"/>
        <v>0</v>
      </c>
      <c r="AG229" s="125" t="e">
        <f t="shared" si="32"/>
        <v>#N/A</v>
      </c>
    </row>
    <row r="230" spans="1:33" ht="15" customHeight="1" x14ac:dyDescent="0.35">
      <c r="A230" s="185">
        <v>228</v>
      </c>
      <c r="B230" s="172"/>
      <c r="C230" s="193"/>
      <c r="D230" s="324"/>
      <c r="E230" s="332" t="str">
        <f t="shared" si="9"/>
        <v/>
      </c>
      <c r="F230" s="170"/>
      <c r="G230" s="137"/>
      <c r="H230" s="339" t="str">
        <f t="shared" si="20"/>
        <v/>
      </c>
      <c r="I230" s="393"/>
      <c r="J230" s="169"/>
      <c r="K230" s="328"/>
      <c r="L230" s="330" t="str">
        <f t="shared" si="21"/>
        <v/>
      </c>
      <c r="M230" s="33"/>
      <c r="N230" s="168"/>
      <c r="O230" s="172"/>
      <c r="P230" s="183"/>
      <c r="Q230" s="183"/>
      <c r="R230" s="202"/>
      <c r="S230" s="34"/>
      <c r="T230" s="324"/>
      <c r="U230" s="327" t="str">
        <f t="shared" si="22"/>
        <v/>
      </c>
      <c r="V230" s="325"/>
      <c r="W230" s="320"/>
      <c r="X230" s="334"/>
      <c r="AB230" s="370">
        <v>228</v>
      </c>
      <c r="AC230" s="371">
        <f t="shared" ref="AC230:AC293" si="33">IF(AND(E230&gt;0,E230&lt;25),1,0)</f>
        <v>0</v>
      </c>
      <c r="AD230" s="371">
        <f t="shared" ref="AD230:AD293" si="34">IF(AND(E230&gt;24,E230&lt;35),1,0)</f>
        <v>0</v>
      </c>
      <c r="AE230" s="371">
        <f t="shared" ref="AE230:AE293" si="35">IF(AND(E230&gt;34,E230&lt;60),1,0)</f>
        <v>0</v>
      </c>
      <c r="AF230" s="371">
        <f t="shared" ref="AF230:AF293" si="36">IF(AND(E230&gt;59,E230&lt;151),1,0)</f>
        <v>0</v>
      </c>
      <c r="AG230" s="125" t="e">
        <f t="shared" ref="AG230:AG293" si="37">_xlfn.IFS(AC230=1,1,AD230=1,2,AE230=1,3,AF230=1,4)</f>
        <v>#N/A</v>
      </c>
    </row>
    <row r="231" spans="1:33" ht="15" customHeight="1" x14ac:dyDescent="0.35">
      <c r="A231" s="185">
        <v>229</v>
      </c>
      <c r="B231" s="172"/>
      <c r="C231" s="193"/>
      <c r="D231" s="324"/>
      <c r="E231" s="332" t="str">
        <f t="shared" si="9"/>
        <v/>
      </c>
      <c r="F231" s="170"/>
      <c r="G231" s="137"/>
      <c r="H231" s="339" t="str">
        <f t="shared" si="20"/>
        <v/>
      </c>
      <c r="I231" s="393"/>
      <c r="J231" s="169"/>
      <c r="K231" s="328"/>
      <c r="L231" s="330" t="str">
        <f t="shared" si="21"/>
        <v/>
      </c>
      <c r="M231" s="33"/>
      <c r="N231" s="168"/>
      <c r="O231" s="172"/>
      <c r="P231" s="183"/>
      <c r="Q231" s="183"/>
      <c r="R231" s="202"/>
      <c r="S231" s="34"/>
      <c r="T231" s="324"/>
      <c r="U231" s="327" t="str">
        <f t="shared" si="22"/>
        <v/>
      </c>
      <c r="V231" s="325"/>
      <c r="W231" s="320"/>
      <c r="X231" s="334"/>
      <c r="AB231" s="370">
        <v>229</v>
      </c>
      <c r="AC231" s="371">
        <f t="shared" si="33"/>
        <v>0</v>
      </c>
      <c r="AD231" s="371">
        <f t="shared" si="34"/>
        <v>0</v>
      </c>
      <c r="AE231" s="371">
        <f t="shared" si="35"/>
        <v>0</v>
      </c>
      <c r="AF231" s="371">
        <f t="shared" si="36"/>
        <v>0</v>
      </c>
      <c r="AG231" s="125" t="e">
        <f t="shared" si="37"/>
        <v>#N/A</v>
      </c>
    </row>
    <row r="232" spans="1:33" ht="15" customHeight="1" x14ac:dyDescent="0.35">
      <c r="A232" s="185">
        <v>230</v>
      </c>
      <c r="B232" s="172"/>
      <c r="C232" s="193"/>
      <c r="D232" s="324"/>
      <c r="E232" s="332" t="str">
        <f t="shared" si="9"/>
        <v/>
      </c>
      <c r="F232" s="170"/>
      <c r="G232" s="137"/>
      <c r="H232" s="339" t="str">
        <f t="shared" si="20"/>
        <v/>
      </c>
      <c r="I232" s="393"/>
      <c r="J232" s="169"/>
      <c r="K232" s="328"/>
      <c r="L232" s="330" t="str">
        <f t="shared" si="21"/>
        <v/>
      </c>
      <c r="M232" s="33"/>
      <c r="N232" s="168"/>
      <c r="O232" s="172"/>
      <c r="P232" s="183"/>
      <c r="Q232" s="183"/>
      <c r="R232" s="202"/>
      <c r="S232" s="34"/>
      <c r="T232" s="324"/>
      <c r="U232" s="327" t="str">
        <f t="shared" si="22"/>
        <v/>
      </c>
      <c r="V232" s="325"/>
      <c r="W232" s="320"/>
      <c r="X232" s="334"/>
      <c r="AB232" s="370">
        <v>230</v>
      </c>
      <c r="AC232" s="371">
        <f t="shared" si="33"/>
        <v>0</v>
      </c>
      <c r="AD232" s="371">
        <f t="shared" si="34"/>
        <v>0</v>
      </c>
      <c r="AE232" s="371">
        <f t="shared" si="35"/>
        <v>0</v>
      </c>
      <c r="AF232" s="371">
        <f t="shared" si="36"/>
        <v>0</v>
      </c>
      <c r="AG232" s="125" t="e">
        <f t="shared" si="37"/>
        <v>#N/A</v>
      </c>
    </row>
    <row r="233" spans="1:33" ht="15" customHeight="1" x14ac:dyDescent="0.35">
      <c r="A233" s="185">
        <v>231</v>
      </c>
      <c r="B233" s="172"/>
      <c r="C233" s="193"/>
      <c r="D233" s="324"/>
      <c r="E233" s="332" t="str">
        <f t="shared" si="9"/>
        <v/>
      </c>
      <c r="F233" s="170"/>
      <c r="G233" s="137"/>
      <c r="H233" s="339" t="str">
        <f t="shared" si="20"/>
        <v/>
      </c>
      <c r="I233" s="393"/>
      <c r="J233" s="169"/>
      <c r="K233" s="328"/>
      <c r="L233" s="330" t="str">
        <f t="shared" si="21"/>
        <v/>
      </c>
      <c r="M233" s="33"/>
      <c r="N233" s="168"/>
      <c r="O233" s="172"/>
      <c r="P233" s="183"/>
      <c r="Q233" s="183"/>
      <c r="R233" s="202"/>
      <c r="S233" s="34"/>
      <c r="T233" s="324"/>
      <c r="U233" s="327" t="str">
        <f t="shared" si="22"/>
        <v/>
      </c>
      <c r="V233" s="325"/>
      <c r="W233" s="320"/>
      <c r="X233" s="334"/>
      <c r="AB233" s="370">
        <v>231</v>
      </c>
      <c r="AC233" s="371">
        <f t="shared" si="33"/>
        <v>0</v>
      </c>
      <c r="AD233" s="371">
        <f t="shared" si="34"/>
        <v>0</v>
      </c>
      <c r="AE233" s="371">
        <f t="shared" si="35"/>
        <v>0</v>
      </c>
      <c r="AF233" s="371">
        <f t="shared" si="36"/>
        <v>0</v>
      </c>
      <c r="AG233" s="125" t="e">
        <f t="shared" si="37"/>
        <v>#N/A</v>
      </c>
    </row>
    <row r="234" spans="1:33" ht="15" customHeight="1" x14ac:dyDescent="0.35">
      <c r="A234" s="185">
        <v>232</v>
      </c>
      <c r="B234" s="172"/>
      <c r="C234" s="193"/>
      <c r="D234" s="324"/>
      <c r="E234" s="332" t="str">
        <f t="shared" si="9"/>
        <v/>
      </c>
      <c r="F234" s="170"/>
      <c r="G234" s="137"/>
      <c r="H234" s="339" t="str">
        <f t="shared" si="20"/>
        <v/>
      </c>
      <c r="I234" s="393"/>
      <c r="J234" s="169"/>
      <c r="K234" s="328"/>
      <c r="L234" s="330" t="str">
        <f t="shared" si="21"/>
        <v/>
      </c>
      <c r="M234" s="33"/>
      <c r="N234" s="168"/>
      <c r="O234" s="172"/>
      <c r="P234" s="183"/>
      <c r="Q234" s="183"/>
      <c r="R234" s="202"/>
      <c r="S234" s="34"/>
      <c r="T234" s="324"/>
      <c r="U234" s="327" t="str">
        <f t="shared" si="22"/>
        <v/>
      </c>
      <c r="V234" s="325"/>
      <c r="W234" s="320"/>
      <c r="X234" s="334"/>
      <c r="AB234" s="370">
        <v>232</v>
      </c>
      <c r="AC234" s="371">
        <f t="shared" si="33"/>
        <v>0</v>
      </c>
      <c r="AD234" s="371">
        <f t="shared" si="34"/>
        <v>0</v>
      </c>
      <c r="AE234" s="371">
        <f t="shared" si="35"/>
        <v>0</v>
      </c>
      <c r="AF234" s="371">
        <f t="shared" si="36"/>
        <v>0</v>
      </c>
      <c r="AG234" s="125" t="e">
        <f t="shared" si="37"/>
        <v>#N/A</v>
      </c>
    </row>
    <row r="235" spans="1:33" ht="15" customHeight="1" x14ac:dyDescent="0.35">
      <c r="A235" s="185">
        <v>233</v>
      </c>
      <c r="B235" s="172"/>
      <c r="C235" s="193"/>
      <c r="D235" s="324"/>
      <c r="E235" s="332" t="str">
        <f t="shared" si="9"/>
        <v/>
      </c>
      <c r="F235" s="170"/>
      <c r="G235" s="137"/>
      <c r="H235" s="339" t="str">
        <f t="shared" si="20"/>
        <v/>
      </c>
      <c r="I235" s="393"/>
      <c r="J235" s="169"/>
      <c r="K235" s="328"/>
      <c r="L235" s="330" t="str">
        <f t="shared" si="21"/>
        <v/>
      </c>
      <c r="M235" s="33"/>
      <c r="N235" s="168"/>
      <c r="O235" s="172"/>
      <c r="P235" s="183"/>
      <c r="Q235" s="183"/>
      <c r="R235" s="202"/>
      <c r="S235" s="34"/>
      <c r="T235" s="324"/>
      <c r="U235" s="327" t="str">
        <f t="shared" si="22"/>
        <v/>
      </c>
      <c r="V235" s="325"/>
      <c r="W235" s="320"/>
      <c r="X235" s="334"/>
      <c r="AB235" s="370">
        <v>233</v>
      </c>
      <c r="AC235" s="371">
        <f t="shared" si="33"/>
        <v>0</v>
      </c>
      <c r="AD235" s="371">
        <f t="shared" si="34"/>
        <v>0</v>
      </c>
      <c r="AE235" s="371">
        <f t="shared" si="35"/>
        <v>0</v>
      </c>
      <c r="AF235" s="371">
        <f t="shared" si="36"/>
        <v>0</v>
      </c>
      <c r="AG235" s="125" t="e">
        <f t="shared" si="37"/>
        <v>#N/A</v>
      </c>
    </row>
    <row r="236" spans="1:33" ht="15" customHeight="1" x14ac:dyDescent="0.35">
      <c r="A236" s="185">
        <v>234</v>
      </c>
      <c r="B236" s="172"/>
      <c r="C236" s="193"/>
      <c r="D236" s="324"/>
      <c r="E236" s="332" t="str">
        <f t="shared" si="9"/>
        <v/>
      </c>
      <c r="F236" s="170"/>
      <c r="G236" s="137"/>
      <c r="H236" s="339" t="str">
        <f t="shared" si="20"/>
        <v/>
      </c>
      <c r="I236" s="393"/>
      <c r="J236" s="169"/>
      <c r="K236" s="328"/>
      <c r="L236" s="330" t="str">
        <f t="shared" si="21"/>
        <v/>
      </c>
      <c r="M236" s="33"/>
      <c r="N236" s="168"/>
      <c r="O236" s="172"/>
      <c r="P236" s="183"/>
      <c r="Q236" s="183"/>
      <c r="R236" s="202"/>
      <c r="S236" s="34"/>
      <c r="T236" s="324"/>
      <c r="U236" s="327" t="str">
        <f t="shared" si="22"/>
        <v/>
      </c>
      <c r="V236" s="325"/>
      <c r="W236" s="320"/>
      <c r="X236" s="334"/>
      <c r="AB236" s="370">
        <v>234</v>
      </c>
      <c r="AC236" s="371">
        <f t="shared" si="33"/>
        <v>0</v>
      </c>
      <c r="AD236" s="371">
        <f t="shared" si="34"/>
        <v>0</v>
      </c>
      <c r="AE236" s="371">
        <f t="shared" si="35"/>
        <v>0</v>
      </c>
      <c r="AF236" s="371">
        <f t="shared" si="36"/>
        <v>0</v>
      </c>
      <c r="AG236" s="125" t="e">
        <f t="shared" si="37"/>
        <v>#N/A</v>
      </c>
    </row>
    <row r="237" spans="1:33" ht="15" customHeight="1" x14ac:dyDescent="0.35">
      <c r="A237" s="185">
        <v>235</v>
      </c>
      <c r="B237" s="172"/>
      <c r="C237" s="193"/>
      <c r="D237" s="324"/>
      <c r="E237" s="332" t="str">
        <f t="shared" si="9"/>
        <v/>
      </c>
      <c r="F237" s="170"/>
      <c r="G237" s="137"/>
      <c r="H237" s="339" t="str">
        <f t="shared" si="20"/>
        <v/>
      </c>
      <c r="I237" s="393"/>
      <c r="J237" s="169"/>
      <c r="K237" s="328"/>
      <c r="L237" s="330" t="str">
        <f t="shared" si="21"/>
        <v/>
      </c>
      <c r="M237" s="33"/>
      <c r="N237" s="168"/>
      <c r="O237" s="172"/>
      <c r="P237" s="183"/>
      <c r="Q237" s="183"/>
      <c r="R237" s="202"/>
      <c r="S237" s="34"/>
      <c r="T237" s="324"/>
      <c r="U237" s="327" t="str">
        <f t="shared" si="22"/>
        <v/>
      </c>
      <c r="V237" s="325"/>
      <c r="W237" s="320"/>
      <c r="X237" s="334"/>
      <c r="AB237" s="370">
        <v>235</v>
      </c>
      <c r="AC237" s="371">
        <f t="shared" si="33"/>
        <v>0</v>
      </c>
      <c r="AD237" s="371">
        <f t="shared" si="34"/>
        <v>0</v>
      </c>
      <c r="AE237" s="371">
        <f t="shared" si="35"/>
        <v>0</v>
      </c>
      <c r="AF237" s="371">
        <f t="shared" si="36"/>
        <v>0</v>
      </c>
      <c r="AG237" s="125" t="e">
        <f t="shared" si="37"/>
        <v>#N/A</v>
      </c>
    </row>
    <row r="238" spans="1:33" ht="15" customHeight="1" x14ac:dyDescent="0.35">
      <c r="A238" s="185">
        <v>236</v>
      </c>
      <c r="B238" s="172"/>
      <c r="C238" s="193"/>
      <c r="D238" s="324"/>
      <c r="E238" s="332" t="str">
        <f t="shared" si="9"/>
        <v/>
      </c>
      <c r="F238" s="170"/>
      <c r="G238" s="137"/>
      <c r="H238" s="339" t="str">
        <f t="shared" si="20"/>
        <v/>
      </c>
      <c r="I238" s="393"/>
      <c r="J238" s="169"/>
      <c r="K238" s="328"/>
      <c r="L238" s="330" t="str">
        <f t="shared" si="21"/>
        <v/>
      </c>
      <c r="M238" s="33"/>
      <c r="N238" s="168"/>
      <c r="O238" s="172"/>
      <c r="P238" s="183"/>
      <c r="Q238" s="183"/>
      <c r="R238" s="202"/>
      <c r="S238" s="34"/>
      <c r="T238" s="324"/>
      <c r="U238" s="327" t="str">
        <f t="shared" si="22"/>
        <v/>
      </c>
      <c r="V238" s="325"/>
      <c r="W238" s="320"/>
      <c r="X238" s="334"/>
      <c r="AB238" s="370">
        <v>236</v>
      </c>
      <c r="AC238" s="371">
        <f t="shared" si="33"/>
        <v>0</v>
      </c>
      <c r="AD238" s="371">
        <f t="shared" si="34"/>
        <v>0</v>
      </c>
      <c r="AE238" s="371">
        <f t="shared" si="35"/>
        <v>0</v>
      </c>
      <c r="AF238" s="371">
        <f t="shared" si="36"/>
        <v>0</v>
      </c>
      <c r="AG238" s="125" t="e">
        <f t="shared" si="37"/>
        <v>#N/A</v>
      </c>
    </row>
    <row r="239" spans="1:33" ht="15" customHeight="1" x14ac:dyDescent="0.35">
      <c r="A239" s="185">
        <v>237</v>
      </c>
      <c r="B239" s="172"/>
      <c r="C239" s="193"/>
      <c r="D239" s="324"/>
      <c r="E239" s="332" t="str">
        <f t="shared" si="9"/>
        <v/>
      </c>
      <c r="F239" s="170"/>
      <c r="G239" s="137"/>
      <c r="H239" s="339" t="str">
        <f t="shared" si="20"/>
        <v/>
      </c>
      <c r="I239" s="393"/>
      <c r="J239" s="169"/>
      <c r="K239" s="328"/>
      <c r="L239" s="330" t="str">
        <f t="shared" si="21"/>
        <v/>
      </c>
      <c r="M239" s="33"/>
      <c r="N239" s="168"/>
      <c r="O239" s="172"/>
      <c r="P239" s="183"/>
      <c r="Q239" s="183"/>
      <c r="R239" s="202"/>
      <c r="S239" s="34"/>
      <c r="T239" s="324"/>
      <c r="U239" s="327" t="str">
        <f t="shared" si="22"/>
        <v/>
      </c>
      <c r="V239" s="325"/>
      <c r="W239" s="320"/>
      <c r="X239" s="334"/>
      <c r="AB239" s="370">
        <v>237</v>
      </c>
      <c r="AC239" s="371">
        <f t="shared" si="33"/>
        <v>0</v>
      </c>
      <c r="AD239" s="371">
        <f t="shared" si="34"/>
        <v>0</v>
      </c>
      <c r="AE239" s="371">
        <f t="shared" si="35"/>
        <v>0</v>
      </c>
      <c r="AF239" s="371">
        <f t="shared" si="36"/>
        <v>0</v>
      </c>
      <c r="AG239" s="125" t="e">
        <f t="shared" si="37"/>
        <v>#N/A</v>
      </c>
    </row>
    <row r="240" spans="1:33" ht="15" customHeight="1" x14ac:dyDescent="0.35">
      <c r="A240" s="185">
        <v>238</v>
      </c>
      <c r="B240" s="172"/>
      <c r="C240" s="193"/>
      <c r="D240" s="324"/>
      <c r="E240" s="332" t="str">
        <f t="shared" si="9"/>
        <v/>
      </c>
      <c r="F240" s="170"/>
      <c r="G240" s="137"/>
      <c r="H240" s="339" t="str">
        <f t="shared" si="20"/>
        <v/>
      </c>
      <c r="I240" s="393"/>
      <c r="J240" s="169"/>
      <c r="K240" s="328"/>
      <c r="L240" s="330" t="str">
        <f t="shared" si="21"/>
        <v/>
      </c>
      <c r="M240" s="33"/>
      <c r="N240" s="168"/>
      <c r="O240" s="172"/>
      <c r="P240" s="183"/>
      <c r="Q240" s="183"/>
      <c r="R240" s="202"/>
      <c r="S240" s="34"/>
      <c r="T240" s="324"/>
      <c r="U240" s="327" t="str">
        <f t="shared" si="22"/>
        <v/>
      </c>
      <c r="V240" s="325"/>
      <c r="W240" s="320"/>
      <c r="X240" s="334"/>
      <c r="AB240" s="370">
        <v>238</v>
      </c>
      <c r="AC240" s="371">
        <f t="shared" si="33"/>
        <v>0</v>
      </c>
      <c r="AD240" s="371">
        <f t="shared" si="34"/>
        <v>0</v>
      </c>
      <c r="AE240" s="371">
        <f t="shared" si="35"/>
        <v>0</v>
      </c>
      <c r="AF240" s="371">
        <f t="shared" si="36"/>
        <v>0</v>
      </c>
      <c r="AG240" s="125" t="e">
        <f t="shared" si="37"/>
        <v>#N/A</v>
      </c>
    </row>
    <row r="241" spans="1:33" ht="15" customHeight="1" x14ac:dyDescent="0.35">
      <c r="A241" s="185">
        <v>239</v>
      </c>
      <c r="B241" s="172"/>
      <c r="C241" s="193"/>
      <c r="D241" s="324"/>
      <c r="E241" s="332" t="str">
        <f t="shared" si="9"/>
        <v/>
      </c>
      <c r="F241" s="170"/>
      <c r="G241" s="137"/>
      <c r="H241" s="339" t="str">
        <f t="shared" si="20"/>
        <v/>
      </c>
      <c r="I241" s="393"/>
      <c r="J241" s="169"/>
      <c r="K241" s="328"/>
      <c r="L241" s="330" t="str">
        <f t="shared" si="21"/>
        <v/>
      </c>
      <c r="M241" s="33"/>
      <c r="N241" s="168"/>
      <c r="O241" s="172"/>
      <c r="P241" s="183"/>
      <c r="Q241" s="183"/>
      <c r="R241" s="202"/>
      <c r="S241" s="34"/>
      <c r="T241" s="324"/>
      <c r="U241" s="327" t="str">
        <f t="shared" si="22"/>
        <v/>
      </c>
      <c r="V241" s="325"/>
      <c r="W241" s="320"/>
      <c r="X241" s="334"/>
      <c r="AB241" s="370">
        <v>239</v>
      </c>
      <c r="AC241" s="371">
        <f t="shared" si="33"/>
        <v>0</v>
      </c>
      <c r="AD241" s="371">
        <f t="shared" si="34"/>
        <v>0</v>
      </c>
      <c r="AE241" s="371">
        <f t="shared" si="35"/>
        <v>0</v>
      </c>
      <c r="AF241" s="371">
        <f t="shared" si="36"/>
        <v>0</v>
      </c>
      <c r="AG241" s="125" t="e">
        <f t="shared" si="37"/>
        <v>#N/A</v>
      </c>
    </row>
    <row r="242" spans="1:33" ht="15" customHeight="1" x14ac:dyDescent="0.35">
      <c r="A242" s="185">
        <v>240</v>
      </c>
      <c r="B242" s="172"/>
      <c r="C242" s="193"/>
      <c r="D242" s="324"/>
      <c r="E242" s="332" t="str">
        <f t="shared" si="9"/>
        <v/>
      </c>
      <c r="F242" s="170"/>
      <c r="G242" s="137"/>
      <c r="H242" s="339" t="str">
        <f t="shared" si="20"/>
        <v/>
      </c>
      <c r="I242" s="393"/>
      <c r="J242" s="169"/>
      <c r="K242" s="328"/>
      <c r="L242" s="330" t="str">
        <f t="shared" si="21"/>
        <v/>
      </c>
      <c r="M242" s="33"/>
      <c r="N242" s="168"/>
      <c r="O242" s="172"/>
      <c r="P242" s="183"/>
      <c r="Q242" s="183"/>
      <c r="R242" s="202"/>
      <c r="S242" s="34"/>
      <c r="T242" s="324"/>
      <c r="U242" s="327" t="str">
        <f t="shared" si="22"/>
        <v/>
      </c>
      <c r="V242" s="325"/>
      <c r="W242" s="320"/>
      <c r="X242" s="334"/>
      <c r="AB242" s="370">
        <v>240</v>
      </c>
      <c r="AC242" s="371">
        <f t="shared" si="33"/>
        <v>0</v>
      </c>
      <c r="AD242" s="371">
        <f t="shared" si="34"/>
        <v>0</v>
      </c>
      <c r="AE242" s="371">
        <f t="shared" si="35"/>
        <v>0</v>
      </c>
      <c r="AF242" s="371">
        <f t="shared" si="36"/>
        <v>0</v>
      </c>
      <c r="AG242" s="125" t="e">
        <f t="shared" si="37"/>
        <v>#N/A</v>
      </c>
    </row>
    <row r="243" spans="1:33" ht="15" customHeight="1" x14ac:dyDescent="0.35">
      <c r="A243" s="185">
        <v>241</v>
      </c>
      <c r="B243" s="172"/>
      <c r="C243" s="193"/>
      <c r="D243" s="324"/>
      <c r="E243" s="332" t="str">
        <f t="shared" si="9"/>
        <v/>
      </c>
      <c r="F243" s="170"/>
      <c r="G243" s="137"/>
      <c r="H243" s="339" t="str">
        <f t="shared" si="20"/>
        <v/>
      </c>
      <c r="I243" s="393"/>
      <c r="J243" s="169"/>
      <c r="K243" s="328"/>
      <c r="L243" s="330" t="str">
        <f t="shared" si="21"/>
        <v/>
      </c>
      <c r="M243" s="33"/>
      <c r="N243" s="168"/>
      <c r="O243" s="172"/>
      <c r="P243" s="183"/>
      <c r="Q243" s="183"/>
      <c r="R243" s="202"/>
      <c r="S243" s="34"/>
      <c r="T243" s="324"/>
      <c r="U243" s="327" t="str">
        <f t="shared" si="22"/>
        <v/>
      </c>
      <c r="V243" s="325"/>
      <c r="W243" s="320"/>
      <c r="X243" s="334"/>
      <c r="AB243" s="370">
        <v>241</v>
      </c>
      <c r="AC243" s="371">
        <f t="shared" si="33"/>
        <v>0</v>
      </c>
      <c r="AD243" s="371">
        <f t="shared" si="34"/>
        <v>0</v>
      </c>
      <c r="AE243" s="371">
        <f t="shared" si="35"/>
        <v>0</v>
      </c>
      <c r="AF243" s="371">
        <f t="shared" si="36"/>
        <v>0</v>
      </c>
      <c r="AG243" s="125" t="e">
        <f t="shared" si="37"/>
        <v>#N/A</v>
      </c>
    </row>
    <row r="244" spans="1:33" ht="15" customHeight="1" x14ac:dyDescent="0.35">
      <c r="A244" s="185">
        <v>242</v>
      </c>
      <c r="B244" s="172"/>
      <c r="C244" s="193"/>
      <c r="D244" s="324"/>
      <c r="E244" s="332" t="str">
        <f t="shared" si="9"/>
        <v/>
      </c>
      <c r="F244" s="170"/>
      <c r="G244" s="137"/>
      <c r="H244" s="339" t="str">
        <f t="shared" si="20"/>
        <v/>
      </c>
      <c r="I244" s="393"/>
      <c r="J244" s="169"/>
      <c r="K244" s="328"/>
      <c r="L244" s="330" t="str">
        <f t="shared" si="21"/>
        <v/>
      </c>
      <c r="M244" s="33"/>
      <c r="N244" s="168"/>
      <c r="O244" s="172"/>
      <c r="P244" s="183"/>
      <c r="Q244" s="183"/>
      <c r="R244" s="202"/>
      <c r="S244" s="34"/>
      <c r="T244" s="324"/>
      <c r="U244" s="327" t="str">
        <f t="shared" si="22"/>
        <v/>
      </c>
      <c r="V244" s="325"/>
      <c r="W244" s="320"/>
      <c r="X244" s="334"/>
      <c r="AB244" s="370">
        <v>242</v>
      </c>
      <c r="AC244" s="371">
        <f t="shared" si="33"/>
        <v>0</v>
      </c>
      <c r="AD244" s="371">
        <f t="shared" si="34"/>
        <v>0</v>
      </c>
      <c r="AE244" s="371">
        <f t="shared" si="35"/>
        <v>0</v>
      </c>
      <c r="AF244" s="371">
        <f t="shared" si="36"/>
        <v>0</v>
      </c>
      <c r="AG244" s="125" t="e">
        <f t="shared" si="37"/>
        <v>#N/A</v>
      </c>
    </row>
    <row r="245" spans="1:33" ht="15" customHeight="1" x14ac:dyDescent="0.35">
      <c r="A245" s="185">
        <v>243</v>
      </c>
      <c r="B245" s="172"/>
      <c r="C245" s="193"/>
      <c r="D245" s="324"/>
      <c r="E245" s="332" t="str">
        <f t="shared" si="9"/>
        <v/>
      </c>
      <c r="F245" s="170"/>
      <c r="G245" s="137"/>
      <c r="H245" s="339" t="str">
        <f t="shared" si="20"/>
        <v/>
      </c>
      <c r="I245" s="393"/>
      <c r="J245" s="169"/>
      <c r="K245" s="328"/>
      <c r="L245" s="330" t="str">
        <f t="shared" si="21"/>
        <v/>
      </c>
      <c r="M245" s="33"/>
      <c r="N245" s="168"/>
      <c r="O245" s="172"/>
      <c r="P245" s="183"/>
      <c r="Q245" s="183"/>
      <c r="R245" s="202"/>
      <c r="S245" s="34"/>
      <c r="T245" s="324"/>
      <c r="U245" s="327" t="str">
        <f t="shared" si="22"/>
        <v/>
      </c>
      <c r="V245" s="325"/>
      <c r="W245" s="320"/>
      <c r="X245" s="334"/>
      <c r="AB245" s="370">
        <v>243</v>
      </c>
      <c r="AC245" s="371">
        <f t="shared" si="33"/>
        <v>0</v>
      </c>
      <c r="AD245" s="371">
        <f t="shared" si="34"/>
        <v>0</v>
      </c>
      <c r="AE245" s="371">
        <f t="shared" si="35"/>
        <v>0</v>
      </c>
      <c r="AF245" s="371">
        <f t="shared" si="36"/>
        <v>0</v>
      </c>
      <c r="AG245" s="125" t="e">
        <f t="shared" si="37"/>
        <v>#N/A</v>
      </c>
    </row>
    <row r="246" spans="1:33" ht="15" customHeight="1" x14ac:dyDescent="0.35">
      <c r="A246" s="185">
        <v>244</v>
      </c>
      <c r="B246" s="172"/>
      <c r="C246" s="193"/>
      <c r="D246" s="324"/>
      <c r="E246" s="332" t="str">
        <f t="shared" si="9"/>
        <v/>
      </c>
      <c r="F246" s="170"/>
      <c r="G246" s="137"/>
      <c r="H246" s="339" t="str">
        <f t="shared" si="20"/>
        <v/>
      </c>
      <c r="I246" s="393"/>
      <c r="J246" s="169"/>
      <c r="K246" s="328"/>
      <c r="L246" s="330" t="str">
        <f t="shared" si="21"/>
        <v/>
      </c>
      <c r="M246" s="33"/>
      <c r="N246" s="168"/>
      <c r="O246" s="172"/>
      <c r="P246" s="183"/>
      <c r="Q246" s="183"/>
      <c r="R246" s="202"/>
      <c r="S246" s="34"/>
      <c r="T246" s="324"/>
      <c r="U246" s="327" t="str">
        <f t="shared" si="22"/>
        <v/>
      </c>
      <c r="V246" s="325"/>
      <c r="W246" s="320"/>
      <c r="X246" s="334"/>
      <c r="AB246" s="370">
        <v>244</v>
      </c>
      <c r="AC246" s="371">
        <f t="shared" si="33"/>
        <v>0</v>
      </c>
      <c r="AD246" s="371">
        <f t="shared" si="34"/>
        <v>0</v>
      </c>
      <c r="AE246" s="371">
        <f t="shared" si="35"/>
        <v>0</v>
      </c>
      <c r="AF246" s="371">
        <f t="shared" si="36"/>
        <v>0</v>
      </c>
      <c r="AG246" s="125" t="e">
        <f t="shared" si="37"/>
        <v>#N/A</v>
      </c>
    </row>
    <row r="247" spans="1:33" ht="15" customHeight="1" x14ac:dyDescent="0.35">
      <c r="A247" s="185">
        <v>245</v>
      </c>
      <c r="B247" s="172"/>
      <c r="C247" s="193"/>
      <c r="D247" s="324"/>
      <c r="E247" s="332" t="str">
        <f t="shared" si="9"/>
        <v/>
      </c>
      <c r="F247" s="170"/>
      <c r="G247" s="137"/>
      <c r="H247" s="339" t="str">
        <f t="shared" si="20"/>
        <v/>
      </c>
      <c r="I247" s="393"/>
      <c r="J247" s="169"/>
      <c r="K247" s="328"/>
      <c r="L247" s="330" t="str">
        <f t="shared" si="21"/>
        <v/>
      </c>
      <c r="M247" s="33"/>
      <c r="N247" s="168"/>
      <c r="O247" s="172"/>
      <c r="P247" s="183"/>
      <c r="Q247" s="183"/>
      <c r="R247" s="202"/>
      <c r="S247" s="34"/>
      <c r="T247" s="324"/>
      <c r="U247" s="327" t="str">
        <f t="shared" si="22"/>
        <v/>
      </c>
      <c r="V247" s="325"/>
      <c r="W247" s="320"/>
      <c r="X247" s="334"/>
      <c r="AB247" s="370">
        <v>245</v>
      </c>
      <c r="AC247" s="371">
        <f t="shared" si="33"/>
        <v>0</v>
      </c>
      <c r="AD247" s="371">
        <f t="shared" si="34"/>
        <v>0</v>
      </c>
      <c r="AE247" s="371">
        <f t="shared" si="35"/>
        <v>0</v>
      </c>
      <c r="AF247" s="371">
        <f t="shared" si="36"/>
        <v>0</v>
      </c>
      <c r="AG247" s="125" t="e">
        <f t="shared" si="37"/>
        <v>#N/A</v>
      </c>
    </row>
    <row r="248" spans="1:33" ht="15" customHeight="1" x14ac:dyDescent="0.35">
      <c r="A248" s="185">
        <v>246</v>
      </c>
      <c r="B248" s="172"/>
      <c r="C248" s="193"/>
      <c r="D248" s="324"/>
      <c r="E248" s="332" t="str">
        <f t="shared" si="9"/>
        <v/>
      </c>
      <c r="F248" s="170"/>
      <c r="G248" s="137"/>
      <c r="H248" s="339" t="str">
        <f t="shared" si="20"/>
        <v/>
      </c>
      <c r="I248" s="393"/>
      <c r="J248" s="169"/>
      <c r="K248" s="328"/>
      <c r="L248" s="330" t="str">
        <f t="shared" si="21"/>
        <v/>
      </c>
      <c r="M248" s="33"/>
      <c r="N248" s="168"/>
      <c r="O248" s="172"/>
      <c r="P248" s="183"/>
      <c r="Q248" s="183"/>
      <c r="R248" s="202"/>
      <c r="S248" s="34"/>
      <c r="T248" s="324"/>
      <c r="U248" s="327" t="str">
        <f t="shared" si="22"/>
        <v/>
      </c>
      <c r="V248" s="325"/>
      <c r="W248" s="320"/>
      <c r="X248" s="334"/>
      <c r="AB248" s="370">
        <v>246</v>
      </c>
      <c r="AC248" s="371">
        <f t="shared" si="33"/>
        <v>0</v>
      </c>
      <c r="AD248" s="371">
        <f t="shared" si="34"/>
        <v>0</v>
      </c>
      <c r="AE248" s="371">
        <f t="shared" si="35"/>
        <v>0</v>
      </c>
      <c r="AF248" s="371">
        <f t="shared" si="36"/>
        <v>0</v>
      </c>
      <c r="AG248" s="125" t="e">
        <f t="shared" si="37"/>
        <v>#N/A</v>
      </c>
    </row>
    <row r="249" spans="1:33" ht="15" customHeight="1" x14ac:dyDescent="0.35">
      <c r="A249" s="185">
        <v>247</v>
      </c>
      <c r="B249" s="172"/>
      <c r="C249" s="193"/>
      <c r="D249" s="324"/>
      <c r="E249" s="332" t="str">
        <f t="shared" si="9"/>
        <v/>
      </c>
      <c r="F249" s="170"/>
      <c r="G249" s="137"/>
      <c r="H249" s="339" t="str">
        <f t="shared" si="20"/>
        <v/>
      </c>
      <c r="I249" s="393"/>
      <c r="J249" s="169"/>
      <c r="K249" s="328"/>
      <c r="L249" s="330" t="str">
        <f t="shared" si="21"/>
        <v/>
      </c>
      <c r="M249" s="33"/>
      <c r="N249" s="168"/>
      <c r="O249" s="172"/>
      <c r="P249" s="183"/>
      <c r="Q249" s="183"/>
      <c r="R249" s="202"/>
      <c r="S249" s="34"/>
      <c r="T249" s="324"/>
      <c r="U249" s="327" t="str">
        <f t="shared" si="22"/>
        <v/>
      </c>
      <c r="V249" s="325"/>
      <c r="W249" s="320"/>
      <c r="X249" s="334"/>
      <c r="AB249" s="370">
        <v>247</v>
      </c>
      <c r="AC249" s="371">
        <f t="shared" si="33"/>
        <v>0</v>
      </c>
      <c r="AD249" s="371">
        <f t="shared" si="34"/>
        <v>0</v>
      </c>
      <c r="AE249" s="371">
        <f t="shared" si="35"/>
        <v>0</v>
      </c>
      <c r="AF249" s="371">
        <f t="shared" si="36"/>
        <v>0</v>
      </c>
      <c r="AG249" s="125" t="e">
        <f t="shared" si="37"/>
        <v>#N/A</v>
      </c>
    </row>
    <row r="250" spans="1:33" ht="15" customHeight="1" x14ac:dyDescent="0.35">
      <c r="A250" s="185">
        <v>248</v>
      </c>
      <c r="B250" s="172"/>
      <c r="C250" s="193"/>
      <c r="D250" s="324"/>
      <c r="E250" s="332" t="str">
        <f t="shared" si="9"/>
        <v/>
      </c>
      <c r="F250" s="170"/>
      <c r="G250" s="137"/>
      <c r="H250" s="339" t="str">
        <f t="shared" si="20"/>
        <v/>
      </c>
      <c r="I250" s="393"/>
      <c r="J250" s="169"/>
      <c r="K250" s="328"/>
      <c r="L250" s="330" t="str">
        <f t="shared" si="21"/>
        <v/>
      </c>
      <c r="M250" s="33"/>
      <c r="N250" s="168"/>
      <c r="O250" s="172"/>
      <c r="P250" s="183"/>
      <c r="Q250" s="183"/>
      <c r="R250" s="202"/>
      <c r="S250" s="34"/>
      <c r="T250" s="324"/>
      <c r="U250" s="327" t="str">
        <f t="shared" si="22"/>
        <v/>
      </c>
      <c r="V250" s="325"/>
      <c r="W250" s="320"/>
      <c r="X250" s="334"/>
      <c r="AB250" s="370">
        <v>248</v>
      </c>
      <c r="AC250" s="371">
        <f t="shared" si="33"/>
        <v>0</v>
      </c>
      <c r="AD250" s="371">
        <f t="shared" si="34"/>
        <v>0</v>
      </c>
      <c r="AE250" s="371">
        <f t="shared" si="35"/>
        <v>0</v>
      </c>
      <c r="AF250" s="371">
        <f t="shared" si="36"/>
        <v>0</v>
      </c>
      <c r="AG250" s="125" t="e">
        <f t="shared" si="37"/>
        <v>#N/A</v>
      </c>
    </row>
    <row r="251" spans="1:33" ht="15" customHeight="1" x14ac:dyDescent="0.35">
      <c r="A251" s="185">
        <v>249</v>
      </c>
      <c r="B251" s="172"/>
      <c r="C251" s="193"/>
      <c r="D251" s="324"/>
      <c r="E251" s="332" t="str">
        <f t="shared" si="9"/>
        <v/>
      </c>
      <c r="F251" s="170"/>
      <c r="G251" s="137"/>
      <c r="H251" s="339" t="str">
        <f t="shared" si="20"/>
        <v/>
      </c>
      <c r="I251" s="393"/>
      <c r="J251" s="169"/>
      <c r="K251" s="328"/>
      <c r="L251" s="330" t="str">
        <f t="shared" si="21"/>
        <v/>
      </c>
      <c r="M251" s="33"/>
      <c r="N251" s="168"/>
      <c r="O251" s="172"/>
      <c r="P251" s="183"/>
      <c r="Q251" s="183"/>
      <c r="R251" s="202"/>
      <c r="S251" s="34"/>
      <c r="T251" s="324"/>
      <c r="U251" s="327" t="str">
        <f t="shared" si="22"/>
        <v/>
      </c>
      <c r="V251" s="325"/>
      <c r="W251" s="320"/>
      <c r="X251" s="334"/>
      <c r="AB251" s="370">
        <v>249</v>
      </c>
      <c r="AC251" s="371">
        <f t="shared" si="33"/>
        <v>0</v>
      </c>
      <c r="AD251" s="371">
        <f t="shared" si="34"/>
        <v>0</v>
      </c>
      <c r="AE251" s="371">
        <f t="shared" si="35"/>
        <v>0</v>
      </c>
      <c r="AF251" s="371">
        <f t="shared" si="36"/>
        <v>0</v>
      </c>
      <c r="AG251" s="125" t="e">
        <f t="shared" si="37"/>
        <v>#N/A</v>
      </c>
    </row>
    <row r="252" spans="1:33" ht="15" customHeight="1" x14ac:dyDescent="0.35">
      <c r="A252" s="185">
        <v>250</v>
      </c>
      <c r="B252" s="172"/>
      <c r="C252" s="193"/>
      <c r="D252" s="324"/>
      <c r="E252" s="332" t="str">
        <f t="shared" si="9"/>
        <v/>
      </c>
      <c r="F252" s="170"/>
      <c r="G252" s="137"/>
      <c r="H252" s="339" t="str">
        <f t="shared" si="20"/>
        <v/>
      </c>
      <c r="I252" s="393"/>
      <c r="J252" s="169"/>
      <c r="K252" s="328"/>
      <c r="L252" s="330" t="str">
        <f t="shared" si="21"/>
        <v/>
      </c>
      <c r="M252" s="33"/>
      <c r="N252" s="168"/>
      <c r="O252" s="172"/>
      <c r="P252" s="183"/>
      <c r="Q252" s="183"/>
      <c r="R252" s="202"/>
      <c r="S252" s="34"/>
      <c r="T252" s="324"/>
      <c r="U252" s="327" t="str">
        <f t="shared" si="22"/>
        <v/>
      </c>
      <c r="V252" s="325"/>
      <c r="W252" s="320"/>
      <c r="X252" s="334"/>
      <c r="AB252" s="370">
        <v>250</v>
      </c>
      <c r="AC252" s="371">
        <f t="shared" si="33"/>
        <v>0</v>
      </c>
      <c r="AD252" s="371">
        <f t="shared" si="34"/>
        <v>0</v>
      </c>
      <c r="AE252" s="371">
        <f t="shared" si="35"/>
        <v>0</v>
      </c>
      <c r="AF252" s="371">
        <f t="shared" si="36"/>
        <v>0</v>
      </c>
      <c r="AG252" s="125" t="e">
        <f t="shared" si="37"/>
        <v>#N/A</v>
      </c>
    </row>
    <row r="253" spans="1:33" ht="15" customHeight="1" x14ac:dyDescent="0.35">
      <c r="A253" s="185">
        <v>251</v>
      </c>
      <c r="B253" s="172"/>
      <c r="C253" s="193"/>
      <c r="D253" s="324"/>
      <c r="E253" s="332" t="str">
        <f t="shared" si="9"/>
        <v/>
      </c>
      <c r="F253" s="170"/>
      <c r="G253" s="137"/>
      <c r="H253" s="339" t="str">
        <f t="shared" si="20"/>
        <v/>
      </c>
      <c r="I253" s="393"/>
      <c r="J253" s="169"/>
      <c r="K253" s="328"/>
      <c r="L253" s="330" t="str">
        <f t="shared" si="21"/>
        <v/>
      </c>
      <c r="M253" s="33"/>
      <c r="N253" s="168"/>
      <c r="O253" s="172"/>
      <c r="P253" s="183"/>
      <c r="Q253" s="183"/>
      <c r="R253" s="202"/>
      <c r="S253" s="34"/>
      <c r="T253" s="324"/>
      <c r="U253" s="327" t="str">
        <f t="shared" si="22"/>
        <v/>
      </c>
      <c r="V253" s="325"/>
      <c r="W253" s="320"/>
      <c r="X253" s="334"/>
      <c r="AB253" s="370">
        <v>251</v>
      </c>
      <c r="AC253" s="371">
        <f t="shared" si="33"/>
        <v>0</v>
      </c>
      <c r="AD253" s="371">
        <f t="shared" si="34"/>
        <v>0</v>
      </c>
      <c r="AE253" s="371">
        <f t="shared" si="35"/>
        <v>0</v>
      </c>
      <c r="AF253" s="371">
        <f t="shared" si="36"/>
        <v>0</v>
      </c>
      <c r="AG253" s="125" t="e">
        <f t="shared" si="37"/>
        <v>#N/A</v>
      </c>
    </row>
    <row r="254" spans="1:33" ht="15" customHeight="1" x14ac:dyDescent="0.35">
      <c r="A254" s="185">
        <v>252</v>
      </c>
      <c r="B254" s="172"/>
      <c r="C254" s="193"/>
      <c r="D254" s="324"/>
      <c r="E254" s="332" t="str">
        <f t="shared" si="9"/>
        <v/>
      </c>
      <c r="F254" s="170"/>
      <c r="G254" s="137"/>
      <c r="H254" s="339" t="str">
        <f t="shared" si="20"/>
        <v/>
      </c>
      <c r="I254" s="393"/>
      <c r="J254" s="169"/>
      <c r="K254" s="328"/>
      <c r="L254" s="330" t="str">
        <f t="shared" si="21"/>
        <v/>
      </c>
      <c r="M254" s="33"/>
      <c r="N254" s="168"/>
      <c r="O254" s="172"/>
      <c r="P254" s="183"/>
      <c r="Q254" s="183"/>
      <c r="R254" s="202"/>
      <c r="S254" s="34"/>
      <c r="T254" s="324"/>
      <c r="U254" s="327" t="str">
        <f t="shared" si="22"/>
        <v/>
      </c>
      <c r="V254" s="325"/>
      <c r="W254" s="320"/>
      <c r="X254" s="334"/>
      <c r="AB254" s="370">
        <v>252</v>
      </c>
      <c r="AC254" s="371">
        <f t="shared" si="33"/>
        <v>0</v>
      </c>
      <c r="AD254" s="371">
        <f t="shared" si="34"/>
        <v>0</v>
      </c>
      <c r="AE254" s="371">
        <f t="shared" si="35"/>
        <v>0</v>
      </c>
      <c r="AF254" s="371">
        <f t="shared" si="36"/>
        <v>0</v>
      </c>
      <c r="AG254" s="125" t="e">
        <f t="shared" si="37"/>
        <v>#N/A</v>
      </c>
    </row>
    <row r="255" spans="1:33" ht="15" customHeight="1" x14ac:dyDescent="0.35">
      <c r="A255" s="185">
        <v>253</v>
      </c>
      <c r="B255" s="172"/>
      <c r="C255" s="193"/>
      <c r="D255" s="324"/>
      <c r="E255" s="332" t="str">
        <f t="shared" si="9"/>
        <v/>
      </c>
      <c r="F255" s="170"/>
      <c r="G255" s="137"/>
      <c r="H255" s="339" t="str">
        <f t="shared" si="20"/>
        <v/>
      </c>
      <c r="I255" s="393"/>
      <c r="J255" s="169"/>
      <c r="K255" s="328"/>
      <c r="L255" s="330" t="str">
        <f t="shared" si="21"/>
        <v/>
      </c>
      <c r="M255" s="33"/>
      <c r="N255" s="168"/>
      <c r="O255" s="172"/>
      <c r="P255" s="183"/>
      <c r="Q255" s="183"/>
      <c r="R255" s="202"/>
      <c r="S255" s="34"/>
      <c r="T255" s="324"/>
      <c r="U255" s="327" t="str">
        <f t="shared" si="22"/>
        <v/>
      </c>
      <c r="V255" s="325"/>
      <c r="W255" s="320"/>
      <c r="X255" s="334"/>
      <c r="AB255" s="370">
        <v>253</v>
      </c>
      <c r="AC255" s="371">
        <f t="shared" si="33"/>
        <v>0</v>
      </c>
      <c r="AD255" s="371">
        <f t="shared" si="34"/>
        <v>0</v>
      </c>
      <c r="AE255" s="371">
        <f t="shared" si="35"/>
        <v>0</v>
      </c>
      <c r="AF255" s="371">
        <f t="shared" si="36"/>
        <v>0</v>
      </c>
      <c r="AG255" s="125" t="e">
        <f t="shared" si="37"/>
        <v>#N/A</v>
      </c>
    </row>
    <row r="256" spans="1:33" ht="15" customHeight="1" x14ac:dyDescent="0.35">
      <c r="A256" s="185">
        <v>254</v>
      </c>
      <c r="B256" s="172"/>
      <c r="C256" s="193"/>
      <c r="D256" s="324"/>
      <c r="E256" s="332" t="str">
        <f t="shared" si="9"/>
        <v/>
      </c>
      <c r="F256" s="170"/>
      <c r="G256" s="137"/>
      <c r="H256" s="339" t="str">
        <f t="shared" si="20"/>
        <v/>
      </c>
      <c r="I256" s="393"/>
      <c r="J256" s="169"/>
      <c r="K256" s="328"/>
      <c r="L256" s="330" t="str">
        <f t="shared" si="21"/>
        <v/>
      </c>
      <c r="M256" s="33"/>
      <c r="N256" s="168"/>
      <c r="O256" s="172"/>
      <c r="P256" s="183"/>
      <c r="Q256" s="183"/>
      <c r="R256" s="202"/>
      <c r="S256" s="34"/>
      <c r="T256" s="324"/>
      <c r="U256" s="327" t="str">
        <f t="shared" si="22"/>
        <v/>
      </c>
      <c r="V256" s="325"/>
      <c r="W256" s="320"/>
      <c r="X256" s="334"/>
      <c r="AB256" s="370">
        <v>254</v>
      </c>
      <c r="AC256" s="371">
        <f t="shared" si="33"/>
        <v>0</v>
      </c>
      <c r="AD256" s="371">
        <f t="shared" si="34"/>
        <v>0</v>
      </c>
      <c r="AE256" s="371">
        <f t="shared" si="35"/>
        <v>0</v>
      </c>
      <c r="AF256" s="371">
        <f t="shared" si="36"/>
        <v>0</v>
      </c>
      <c r="AG256" s="125" t="e">
        <f t="shared" si="37"/>
        <v>#N/A</v>
      </c>
    </row>
    <row r="257" spans="1:33" ht="15" customHeight="1" x14ac:dyDescent="0.35">
      <c r="A257" s="185">
        <v>255</v>
      </c>
      <c r="B257" s="172"/>
      <c r="C257" s="193"/>
      <c r="D257" s="324"/>
      <c r="E257" s="332" t="str">
        <f t="shared" si="9"/>
        <v/>
      </c>
      <c r="F257" s="170"/>
      <c r="G257" s="137"/>
      <c r="H257" s="339" t="str">
        <f t="shared" si="20"/>
        <v/>
      </c>
      <c r="I257" s="393"/>
      <c r="J257" s="169"/>
      <c r="K257" s="328"/>
      <c r="L257" s="330" t="str">
        <f t="shared" si="21"/>
        <v/>
      </c>
      <c r="M257" s="33"/>
      <c r="N257" s="168"/>
      <c r="O257" s="172"/>
      <c r="P257" s="183"/>
      <c r="Q257" s="183"/>
      <c r="R257" s="202"/>
      <c r="S257" s="34"/>
      <c r="T257" s="324"/>
      <c r="U257" s="327" t="str">
        <f t="shared" si="22"/>
        <v/>
      </c>
      <c r="V257" s="325"/>
      <c r="W257" s="320"/>
      <c r="X257" s="334"/>
      <c r="AB257" s="370">
        <v>255</v>
      </c>
      <c r="AC257" s="371">
        <f t="shared" si="33"/>
        <v>0</v>
      </c>
      <c r="AD257" s="371">
        <f t="shared" si="34"/>
        <v>0</v>
      </c>
      <c r="AE257" s="371">
        <f t="shared" si="35"/>
        <v>0</v>
      </c>
      <c r="AF257" s="371">
        <f t="shared" si="36"/>
        <v>0</v>
      </c>
      <c r="AG257" s="125" t="e">
        <f t="shared" si="37"/>
        <v>#N/A</v>
      </c>
    </row>
    <row r="258" spans="1:33" ht="15" customHeight="1" x14ac:dyDescent="0.35">
      <c r="A258" s="185">
        <v>256</v>
      </c>
      <c r="B258" s="172"/>
      <c r="C258" s="193"/>
      <c r="D258" s="324"/>
      <c r="E258" s="332" t="str">
        <f t="shared" si="9"/>
        <v/>
      </c>
      <c r="F258" s="170"/>
      <c r="G258" s="137"/>
      <c r="H258" s="339" t="str">
        <f t="shared" si="20"/>
        <v/>
      </c>
      <c r="I258" s="393"/>
      <c r="J258" s="169"/>
      <c r="K258" s="328"/>
      <c r="L258" s="330" t="str">
        <f t="shared" si="21"/>
        <v/>
      </c>
      <c r="M258" s="33"/>
      <c r="N258" s="168"/>
      <c r="O258" s="172"/>
      <c r="P258" s="183"/>
      <c r="Q258" s="183"/>
      <c r="R258" s="202"/>
      <c r="S258" s="34"/>
      <c r="T258" s="324"/>
      <c r="U258" s="327" t="str">
        <f t="shared" si="22"/>
        <v/>
      </c>
      <c r="V258" s="325"/>
      <c r="W258" s="320"/>
      <c r="X258" s="334"/>
      <c r="AB258" s="370">
        <v>256</v>
      </c>
      <c r="AC258" s="371">
        <f t="shared" si="33"/>
        <v>0</v>
      </c>
      <c r="AD258" s="371">
        <f t="shared" si="34"/>
        <v>0</v>
      </c>
      <c r="AE258" s="371">
        <f t="shared" si="35"/>
        <v>0</v>
      </c>
      <c r="AF258" s="371">
        <f t="shared" si="36"/>
        <v>0</v>
      </c>
      <c r="AG258" s="125" t="e">
        <f t="shared" si="37"/>
        <v>#N/A</v>
      </c>
    </row>
    <row r="259" spans="1:33" ht="15" customHeight="1" x14ac:dyDescent="0.35">
      <c r="A259" s="185">
        <v>257</v>
      </c>
      <c r="B259" s="172"/>
      <c r="C259" s="193"/>
      <c r="D259" s="324"/>
      <c r="E259" s="332" t="str">
        <f t="shared" si="9"/>
        <v/>
      </c>
      <c r="F259" s="170"/>
      <c r="G259" s="137"/>
      <c r="H259" s="339" t="str">
        <f t="shared" si="20"/>
        <v/>
      </c>
      <c r="I259" s="393"/>
      <c r="J259" s="169"/>
      <c r="K259" s="328"/>
      <c r="L259" s="330" t="str">
        <f t="shared" si="21"/>
        <v/>
      </c>
      <c r="M259" s="33"/>
      <c r="N259" s="168"/>
      <c r="O259" s="172"/>
      <c r="P259" s="183"/>
      <c r="Q259" s="183"/>
      <c r="R259" s="202"/>
      <c r="S259" s="34"/>
      <c r="T259" s="324"/>
      <c r="U259" s="327" t="str">
        <f t="shared" si="22"/>
        <v/>
      </c>
      <c r="V259" s="325"/>
      <c r="W259" s="320"/>
      <c r="X259" s="334"/>
      <c r="AB259" s="370">
        <v>257</v>
      </c>
      <c r="AC259" s="371">
        <f t="shared" si="33"/>
        <v>0</v>
      </c>
      <c r="AD259" s="371">
        <f t="shared" si="34"/>
        <v>0</v>
      </c>
      <c r="AE259" s="371">
        <f t="shared" si="35"/>
        <v>0</v>
      </c>
      <c r="AF259" s="371">
        <f t="shared" si="36"/>
        <v>0</v>
      </c>
      <c r="AG259" s="125" t="e">
        <f t="shared" si="37"/>
        <v>#N/A</v>
      </c>
    </row>
    <row r="260" spans="1:33" ht="15" customHeight="1" x14ac:dyDescent="0.35">
      <c r="A260" s="185">
        <v>258</v>
      </c>
      <c r="B260" s="172"/>
      <c r="C260" s="193"/>
      <c r="D260" s="324"/>
      <c r="E260" s="332" t="str">
        <f t="shared" si="9"/>
        <v/>
      </c>
      <c r="F260" s="170"/>
      <c r="G260" s="137"/>
      <c r="H260" s="339" t="str">
        <f t="shared" si="20"/>
        <v/>
      </c>
      <c r="I260" s="393"/>
      <c r="J260" s="169"/>
      <c r="K260" s="328"/>
      <c r="L260" s="330" t="str">
        <f t="shared" si="21"/>
        <v/>
      </c>
      <c r="M260" s="33"/>
      <c r="N260" s="168"/>
      <c r="O260" s="172"/>
      <c r="P260" s="183"/>
      <c r="Q260" s="183"/>
      <c r="R260" s="202"/>
      <c r="S260" s="34"/>
      <c r="T260" s="324"/>
      <c r="U260" s="327" t="str">
        <f t="shared" si="22"/>
        <v/>
      </c>
      <c r="V260" s="325"/>
      <c r="W260" s="320"/>
      <c r="X260" s="334"/>
      <c r="AB260" s="370">
        <v>258</v>
      </c>
      <c r="AC260" s="371">
        <f t="shared" si="33"/>
        <v>0</v>
      </c>
      <c r="AD260" s="371">
        <f t="shared" si="34"/>
        <v>0</v>
      </c>
      <c r="AE260" s="371">
        <f t="shared" si="35"/>
        <v>0</v>
      </c>
      <c r="AF260" s="371">
        <f t="shared" si="36"/>
        <v>0</v>
      </c>
      <c r="AG260" s="125" t="e">
        <f t="shared" si="37"/>
        <v>#N/A</v>
      </c>
    </row>
    <row r="261" spans="1:33" ht="15" customHeight="1" x14ac:dyDescent="0.35">
      <c r="A261" s="185">
        <v>259</v>
      </c>
      <c r="B261" s="172"/>
      <c r="C261" s="193"/>
      <c r="D261" s="324"/>
      <c r="E261" s="332" t="str">
        <f t="shared" si="9"/>
        <v/>
      </c>
      <c r="F261" s="170"/>
      <c r="G261" s="137"/>
      <c r="H261" s="339" t="str">
        <f t="shared" si="20"/>
        <v/>
      </c>
      <c r="I261" s="393"/>
      <c r="J261" s="169"/>
      <c r="K261" s="328"/>
      <c r="L261" s="330" t="str">
        <f t="shared" si="21"/>
        <v/>
      </c>
      <c r="M261" s="33"/>
      <c r="N261" s="168"/>
      <c r="O261" s="172"/>
      <c r="P261" s="183"/>
      <c r="Q261" s="183"/>
      <c r="R261" s="202"/>
      <c r="S261" s="34"/>
      <c r="T261" s="324"/>
      <c r="U261" s="327" t="str">
        <f t="shared" si="22"/>
        <v/>
      </c>
      <c r="V261" s="325"/>
      <c r="W261" s="320"/>
      <c r="X261" s="334"/>
      <c r="AB261" s="370">
        <v>259</v>
      </c>
      <c r="AC261" s="371">
        <f t="shared" si="33"/>
        <v>0</v>
      </c>
      <c r="AD261" s="371">
        <f t="shared" si="34"/>
        <v>0</v>
      </c>
      <c r="AE261" s="371">
        <f t="shared" si="35"/>
        <v>0</v>
      </c>
      <c r="AF261" s="371">
        <f t="shared" si="36"/>
        <v>0</v>
      </c>
      <c r="AG261" s="125" t="e">
        <f t="shared" si="37"/>
        <v>#N/A</v>
      </c>
    </row>
    <row r="262" spans="1:33" ht="15" customHeight="1" x14ac:dyDescent="0.35">
      <c r="A262" s="185">
        <v>260</v>
      </c>
      <c r="B262" s="172"/>
      <c r="C262" s="193"/>
      <c r="D262" s="324"/>
      <c r="E262" s="332" t="str">
        <f t="shared" si="9"/>
        <v/>
      </c>
      <c r="F262" s="170"/>
      <c r="G262" s="137"/>
      <c r="H262" s="339" t="str">
        <f t="shared" si="20"/>
        <v/>
      </c>
      <c r="I262" s="393"/>
      <c r="J262" s="169"/>
      <c r="K262" s="328"/>
      <c r="L262" s="330" t="str">
        <f t="shared" si="21"/>
        <v/>
      </c>
      <c r="M262" s="33"/>
      <c r="N262" s="168"/>
      <c r="O262" s="172"/>
      <c r="P262" s="183"/>
      <c r="Q262" s="183"/>
      <c r="R262" s="202"/>
      <c r="S262" s="34"/>
      <c r="T262" s="324"/>
      <c r="U262" s="327" t="str">
        <f t="shared" si="22"/>
        <v/>
      </c>
      <c r="V262" s="325"/>
      <c r="W262" s="320"/>
      <c r="X262" s="334"/>
      <c r="AB262" s="370">
        <v>260</v>
      </c>
      <c r="AC262" s="371">
        <f t="shared" si="33"/>
        <v>0</v>
      </c>
      <c r="AD262" s="371">
        <f t="shared" si="34"/>
        <v>0</v>
      </c>
      <c r="AE262" s="371">
        <f t="shared" si="35"/>
        <v>0</v>
      </c>
      <c r="AF262" s="371">
        <f t="shared" si="36"/>
        <v>0</v>
      </c>
      <c r="AG262" s="125" t="e">
        <f t="shared" si="37"/>
        <v>#N/A</v>
      </c>
    </row>
    <row r="263" spans="1:33" ht="15" customHeight="1" x14ac:dyDescent="0.35">
      <c r="A263" s="185">
        <v>261</v>
      </c>
      <c r="B263" s="172"/>
      <c r="C263" s="193"/>
      <c r="D263" s="324"/>
      <c r="E263" s="332" t="str">
        <f t="shared" si="9"/>
        <v/>
      </c>
      <c r="F263" s="170"/>
      <c r="G263" s="137"/>
      <c r="H263" s="339" t="str">
        <f t="shared" si="20"/>
        <v/>
      </c>
      <c r="I263" s="393"/>
      <c r="J263" s="169"/>
      <c r="K263" s="328"/>
      <c r="L263" s="330" t="str">
        <f t="shared" si="21"/>
        <v/>
      </c>
      <c r="M263" s="33"/>
      <c r="N263" s="168"/>
      <c r="O263" s="172"/>
      <c r="P263" s="183"/>
      <c r="Q263" s="183"/>
      <c r="R263" s="202"/>
      <c r="S263" s="34"/>
      <c r="T263" s="324"/>
      <c r="U263" s="327" t="str">
        <f t="shared" si="22"/>
        <v/>
      </c>
      <c r="V263" s="325"/>
      <c r="W263" s="320"/>
      <c r="X263" s="334"/>
      <c r="AB263" s="370">
        <v>261</v>
      </c>
      <c r="AC263" s="371">
        <f t="shared" si="33"/>
        <v>0</v>
      </c>
      <c r="AD263" s="371">
        <f t="shared" si="34"/>
        <v>0</v>
      </c>
      <c r="AE263" s="371">
        <f t="shared" si="35"/>
        <v>0</v>
      </c>
      <c r="AF263" s="371">
        <f t="shared" si="36"/>
        <v>0</v>
      </c>
      <c r="AG263" s="125" t="e">
        <f t="shared" si="37"/>
        <v>#N/A</v>
      </c>
    </row>
    <row r="264" spans="1:33" ht="15" customHeight="1" x14ac:dyDescent="0.35">
      <c r="A264" s="185">
        <v>262</v>
      </c>
      <c r="B264" s="172"/>
      <c r="C264" s="193"/>
      <c r="D264" s="324"/>
      <c r="E264" s="332" t="str">
        <f t="shared" si="9"/>
        <v/>
      </c>
      <c r="F264" s="170"/>
      <c r="G264" s="137"/>
      <c r="H264" s="339" t="str">
        <f t="shared" si="20"/>
        <v/>
      </c>
      <c r="I264" s="393"/>
      <c r="J264" s="169"/>
      <c r="K264" s="328"/>
      <c r="L264" s="330" t="str">
        <f t="shared" si="21"/>
        <v/>
      </c>
      <c r="M264" s="33"/>
      <c r="N264" s="168"/>
      <c r="O264" s="172"/>
      <c r="P264" s="183"/>
      <c r="Q264" s="183"/>
      <c r="R264" s="202"/>
      <c r="S264" s="34"/>
      <c r="T264" s="324"/>
      <c r="U264" s="327" t="str">
        <f t="shared" si="22"/>
        <v/>
      </c>
      <c r="V264" s="325"/>
      <c r="W264" s="320"/>
      <c r="X264" s="334"/>
      <c r="AB264" s="370">
        <v>262</v>
      </c>
      <c r="AC264" s="371">
        <f t="shared" si="33"/>
        <v>0</v>
      </c>
      <c r="AD264" s="371">
        <f t="shared" si="34"/>
        <v>0</v>
      </c>
      <c r="AE264" s="371">
        <f t="shared" si="35"/>
        <v>0</v>
      </c>
      <c r="AF264" s="371">
        <f t="shared" si="36"/>
        <v>0</v>
      </c>
      <c r="AG264" s="125" t="e">
        <f t="shared" si="37"/>
        <v>#N/A</v>
      </c>
    </row>
    <row r="265" spans="1:33" ht="15" customHeight="1" x14ac:dyDescent="0.35">
      <c r="A265" s="185">
        <v>263</v>
      </c>
      <c r="B265" s="172"/>
      <c r="C265" s="193"/>
      <c r="D265" s="324"/>
      <c r="E265" s="332" t="str">
        <f t="shared" si="9"/>
        <v/>
      </c>
      <c r="F265" s="170"/>
      <c r="G265" s="137"/>
      <c r="H265" s="339" t="str">
        <f t="shared" si="20"/>
        <v/>
      </c>
      <c r="I265" s="393"/>
      <c r="J265" s="169"/>
      <c r="K265" s="328"/>
      <c r="L265" s="330" t="str">
        <f t="shared" si="21"/>
        <v/>
      </c>
      <c r="M265" s="33"/>
      <c r="N265" s="168"/>
      <c r="O265" s="172"/>
      <c r="P265" s="183"/>
      <c r="Q265" s="183"/>
      <c r="R265" s="202"/>
      <c r="S265" s="34"/>
      <c r="T265" s="324"/>
      <c r="U265" s="327" t="str">
        <f t="shared" si="22"/>
        <v/>
      </c>
      <c r="V265" s="325"/>
      <c r="W265" s="320"/>
      <c r="X265" s="334"/>
      <c r="AB265" s="370">
        <v>263</v>
      </c>
      <c r="AC265" s="371">
        <f t="shared" si="33"/>
        <v>0</v>
      </c>
      <c r="AD265" s="371">
        <f t="shared" si="34"/>
        <v>0</v>
      </c>
      <c r="AE265" s="371">
        <f t="shared" si="35"/>
        <v>0</v>
      </c>
      <c r="AF265" s="371">
        <f t="shared" si="36"/>
        <v>0</v>
      </c>
      <c r="AG265" s="125" t="e">
        <f t="shared" si="37"/>
        <v>#N/A</v>
      </c>
    </row>
    <row r="266" spans="1:33" ht="15" customHeight="1" x14ac:dyDescent="0.35">
      <c r="A266" s="185">
        <v>264</v>
      </c>
      <c r="B266" s="172"/>
      <c r="C266" s="193"/>
      <c r="D266" s="324"/>
      <c r="E266" s="332" t="str">
        <f t="shared" si="9"/>
        <v/>
      </c>
      <c r="F266" s="170"/>
      <c r="G266" s="137"/>
      <c r="H266" s="339" t="str">
        <f t="shared" si="20"/>
        <v/>
      </c>
      <c r="I266" s="393"/>
      <c r="J266" s="169"/>
      <c r="K266" s="328"/>
      <c r="L266" s="330" t="str">
        <f t="shared" si="21"/>
        <v/>
      </c>
      <c r="M266" s="33"/>
      <c r="N266" s="168"/>
      <c r="O266" s="172"/>
      <c r="P266" s="183"/>
      <c r="Q266" s="183"/>
      <c r="R266" s="202"/>
      <c r="S266" s="34"/>
      <c r="T266" s="324"/>
      <c r="U266" s="327" t="str">
        <f t="shared" si="22"/>
        <v/>
      </c>
      <c r="V266" s="325"/>
      <c r="W266" s="320"/>
      <c r="X266" s="334"/>
      <c r="AB266" s="370">
        <v>264</v>
      </c>
      <c r="AC266" s="371">
        <f t="shared" si="33"/>
        <v>0</v>
      </c>
      <c r="AD266" s="371">
        <f t="shared" si="34"/>
        <v>0</v>
      </c>
      <c r="AE266" s="371">
        <f t="shared" si="35"/>
        <v>0</v>
      </c>
      <c r="AF266" s="371">
        <f t="shared" si="36"/>
        <v>0</v>
      </c>
      <c r="AG266" s="125" t="e">
        <f t="shared" si="37"/>
        <v>#N/A</v>
      </c>
    </row>
    <row r="267" spans="1:33" ht="15" customHeight="1" x14ac:dyDescent="0.35">
      <c r="A267" s="185">
        <v>265</v>
      </c>
      <c r="B267" s="172"/>
      <c r="C267" s="193"/>
      <c r="D267" s="324"/>
      <c r="E267" s="332" t="str">
        <f t="shared" si="9"/>
        <v/>
      </c>
      <c r="F267" s="170"/>
      <c r="G267" s="137"/>
      <c r="H267" s="339" t="str">
        <f t="shared" si="20"/>
        <v/>
      </c>
      <c r="I267" s="393"/>
      <c r="J267" s="169"/>
      <c r="K267" s="328"/>
      <c r="L267" s="330" t="str">
        <f t="shared" si="21"/>
        <v/>
      </c>
      <c r="M267" s="33"/>
      <c r="N267" s="168"/>
      <c r="O267" s="172"/>
      <c r="P267" s="183"/>
      <c r="Q267" s="183"/>
      <c r="R267" s="202"/>
      <c r="S267" s="34"/>
      <c r="T267" s="324"/>
      <c r="U267" s="327" t="str">
        <f t="shared" si="22"/>
        <v/>
      </c>
      <c r="V267" s="325"/>
      <c r="W267" s="320"/>
      <c r="X267" s="334"/>
      <c r="AB267" s="370">
        <v>265</v>
      </c>
      <c r="AC267" s="371">
        <f t="shared" si="33"/>
        <v>0</v>
      </c>
      <c r="AD267" s="371">
        <f t="shared" si="34"/>
        <v>0</v>
      </c>
      <c r="AE267" s="371">
        <f t="shared" si="35"/>
        <v>0</v>
      </c>
      <c r="AF267" s="371">
        <f t="shared" si="36"/>
        <v>0</v>
      </c>
      <c r="AG267" s="125" t="e">
        <f t="shared" si="37"/>
        <v>#N/A</v>
      </c>
    </row>
    <row r="268" spans="1:33" ht="15" customHeight="1" x14ac:dyDescent="0.35">
      <c r="A268" s="185">
        <v>266</v>
      </c>
      <c r="B268" s="172"/>
      <c r="C268" s="193"/>
      <c r="D268" s="324"/>
      <c r="E268" s="332" t="str">
        <f t="shared" si="9"/>
        <v/>
      </c>
      <c r="F268" s="170"/>
      <c r="G268" s="137"/>
      <c r="H268" s="339" t="str">
        <f t="shared" si="20"/>
        <v/>
      </c>
      <c r="I268" s="393"/>
      <c r="J268" s="169"/>
      <c r="K268" s="328"/>
      <c r="L268" s="330" t="str">
        <f t="shared" si="21"/>
        <v/>
      </c>
      <c r="M268" s="33"/>
      <c r="N268" s="168"/>
      <c r="O268" s="172"/>
      <c r="P268" s="183"/>
      <c r="Q268" s="183"/>
      <c r="R268" s="202"/>
      <c r="S268" s="34"/>
      <c r="T268" s="324"/>
      <c r="U268" s="327" t="str">
        <f t="shared" si="22"/>
        <v/>
      </c>
      <c r="V268" s="325"/>
      <c r="W268" s="320"/>
      <c r="X268" s="334"/>
      <c r="AB268" s="370">
        <v>266</v>
      </c>
      <c r="AC268" s="371">
        <f t="shared" si="33"/>
        <v>0</v>
      </c>
      <c r="AD268" s="371">
        <f t="shared" si="34"/>
        <v>0</v>
      </c>
      <c r="AE268" s="371">
        <f t="shared" si="35"/>
        <v>0</v>
      </c>
      <c r="AF268" s="371">
        <f t="shared" si="36"/>
        <v>0</v>
      </c>
      <c r="AG268" s="125" t="e">
        <f t="shared" si="37"/>
        <v>#N/A</v>
      </c>
    </row>
    <row r="269" spans="1:33" ht="15" customHeight="1" x14ac:dyDescent="0.35">
      <c r="A269" s="185">
        <v>267</v>
      </c>
      <c r="B269" s="172"/>
      <c r="C269" s="193"/>
      <c r="D269" s="324"/>
      <c r="E269" s="332" t="str">
        <f t="shared" si="9"/>
        <v/>
      </c>
      <c r="F269" s="170"/>
      <c r="G269" s="137"/>
      <c r="H269" s="339" t="str">
        <f t="shared" si="20"/>
        <v/>
      </c>
      <c r="I269" s="393"/>
      <c r="J269" s="169"/>
      <c r="K269" s="328"/>
      <c r="L269" s="330" t="str">
        <f t="shared" si="21"/>
        <v/>
      </c>
      <c r="M269" s="33"/>
      <c r="N269" s="168"/>
      <c r="O269" s="172"/>
      <c r="P269" s="183"/>
      <c r="Q269" s="183"/>
      <c r="R269" s="202"/>
      <c r="S269" s="34"/>
      <c r="T269" s="324"/>
      <c r="U269" s="327" t="str">
        <f t="shared" si="22"/>
        <v/>
      </c>
      <c r="V269" s="325"/>
      <c r="W269" s="320"/>
      <c r="X269" s="334"/>
      <c r="AB269" s="370">
        <v>267</v>
      </c>
      <c r="AC269" s="371">
        <f t="shared" si="33"/>
        <v>0</v>
      </c>
      <c r="AD269" s="371">
        <f t="shared" si="34"/>
        <v>0</v>
      </c>
      <c r="AE269" s="371">
        <f t="shared" si="35"/>
        <v>0</v>
      </c>
      <c r="AF269" s="371">
        <f t="shared" si="36"/>
        <v>0</v>
      </c>
      <c r="AG269" s="125" t="e">
        <f t="shared" si="37"/>
        <v>#N/A</v>
      </c>
    </row>
    <row r="270" spans="1:33" ht="15" customHeight="1" x14ac:dyDescent="0.35">
      <c r="A270" s="185">
        <v>268</v>
      </c>
      <c r="B270" s="172"/>
      <c r="C270" s="193"/>
      <c r="D270" s="324"/>
      <c r="E270" s="332" t="str">
        <f t="shared" si="9"/>
        <v/>
      </c>
      <c r="F270" s="170"/>
      <c r="G270" s="137"/>
      <c r="H270" s="339" t="str">
        <f t="shared" si="20"/>
        <v/>
      </c>
      <c r="I270" s="393"/>
      <c r="J270" s="169"/>
      <c r="K270" s="328"/>
      <c r="L270" s="330" t="str">
        <f t="shared" si="21"/>
        <v/>
      </c>
      <c r="M270" s="33"/>
      <c r="N270" s="168"/>
      <c r="O270" s="172"/>
      <c r="P270" s="183"/>
      <c r="Q270" s="183"/>
      <c r="R270" s="202"/>
      <c r="S270" s="34"/>
      <c r="T270" s="324"/>
      <c r="U270" s="327" t="str">
        <f t="shared" si="22"/>
        <v/>
      </c>
      <c r="V270" s="325"/>
      <c r="W270" s="320"/>
      <c r="X270" s="334"/>
      <c r="AB270" s="370">
        <v>268</v>
      </c>
      <c r="AC270" s="371">
        <f t="shared" si="33"/>
        <v>0</v>
      </c>
      <c r="AD270" s="371">
        <f t="shared" si="34"/>
        <v>0</v>
      </c>
      <c r="AE270" s="371">
        <f t="shared" si="35"/>
        <v>0</v>
      </c>
      <c r="AF270" s="371">
        <f t="shared" si="36"/>
        <v>0</v>
      </c>
      <c r="AG270" s="125" t="e">
        <f t="shared" si="37"/>
        <v>#N/A</v>
      </c>
    </row>
    <row r="271" spans="1:33" ht="15" customHeight="1" x14ac:dyDescent="0.35">
      <c r="A271" s="185">
        <v>269</v>
      </c>
      <c r="B271" s="172"/>
      <c r="C271" s="193"/>
      <c r="D271" s="324"/>
      <c r="E271" s="332" t="str">
        <f t="shared" si="9"/>
        <v/>
      </c>
      <c r="F271" s="170"/>
      <c r="G271" s="137"/>
      <c r="H271" s="339" t="str">
        <f t="shared" si="20"/>
        <v/>
      </c>
      <c r="I271" s="393"/>
      <c r="J271" s="169"/>
      <c r="K271" s="328"/>
      <c r="L271" s="330" t="str">
        <f t="shared" si="21"/>
        <v/>
      </c>
      <c r="M271" s="33"/>
      <c r="N271" s="168"/>
      <c r="O271" s="172"/>
      <c r="P271" s="183"/>
      <c r="Q271" s="183"/>
      <c r="R271" s="202"/>
      <c r="S271" s="34"/>
      <c r="T271" s="324"/>
      <c r="U271" s="327" t="str">
        <f t="shared" si="22"/>
        <v/>
      </c>
      <c r="V271" s="325"/>
      <c r="W271" s="320"/>
      <c r="X271" s="334"/>
      <c r="AB271" s="370">
        <v>269</v>
      </c>
      <c r="AC271" s="371">
        <f t="shared" si="33"/>
        <v>0</v>
      </c>
      <c r="AD271" s="371">
        <f t="shared" si="34"/>
        <v>0</v>
      </c>
      <c r="AE271" s="371">
        <f t="shared" si="35"/>
        <v>0</v>
      </c>
      <c r="AF271" s="371">
        <f t="shared" si="36"/>
        <v>0</v>
      </c>
      <c r="AG271" s="125" t="e">
        <f t="shared" si="37"/>
        <v>#N/A</v>
      </c>
    </row>
    <row r="272" spans="1:33" ht="15" customHeight="1" x14ac:dyDescent="0.35">
      <c r="A272" s="185">
        <v>270</v>
      </c>
      <c r="B272" s="172"/>
      <c r="C272" s="193"/>
      <c r="D272" s="324"/>
      <c r="E272" s="332" t="str">
        <f t="shared" si="9"/>
        <v/>
      </c>
      <c r="F272" s="170"/>
      <c r="G272" s="137"/>
      <c r="H272" s="339" t="str">
        <f t="shared" si="20"/>
        <v/>
      </c>
      <c r="I272" s="393"/>
      <c r="J272" s="169"/>
      <c r="K272" s="328"/>
      <c r="L272" s="330" t="str">
        <f t="shared" si="21"/>
        <v/>
      </c>
      <c r="M272" s="33"/>
      <c r="N272" s="168"/>
      <c r="O272" s="172"/>
      <c r="P272" s="183"/>
      <c r="Q272" s="183"/>
      <c r="R272" s="202"/>
      <c r="S272" s="34"/>
      <c r="T272" s="324"/>
      <c r="U272" s="327" t="str">
        <f t="shared" si="22"/>
        <v/>
      </c>
      <c r="V272" s="325"/>
      <c r="W272" s="320"/>
      <c r="X272" s="334"/>
      <c r="AB272" s="370">
        <v>270</v>
      </c>
      <c r="AC272" s="371">
        <f t="shared" si="33"/>
        <v>0</v>
      </c>
      <c r="AD272" s="371">
        <f t="shared" si="34"/>
        <v>0</v>
      </c>
      <c r="AE272" s="371">
        <f t="shared" si="35"/>
        <v>0</v>
      </c>
      <c r="AF272" s="371">
        <f t="shared" si="36"/>
        <v>0</v>
      </c>
      <c r="AG272" s="125" t="e">
        <f t="shared" si="37"/>
        <v>#N/A</v>
      </c>
    </row>
    <row r="273" spans="1:33" ht="15" customHeight="1" x14ac:dyDescent="0.35">
      <c r="A273" s="185">
        <v>271</v>
      </c>
      <c r="B273" s="172"/>
      <c r="C273" s="193"/>
      <c r="D273" s="324"/>
      <c r="E273" s="332" t="str">
        <f t="shared" si="9"/>
        <v/>
      </c>
      <c r="F273" s="170"/>
      <c r="G273" s="137"/>
      <c r="H273" s="339" t="str">
        <f t="shared" si="20"/>
        <v/>
      </c>
      <c r="I273" s="393"/>
      <c r="J273" s="169"/>
      <c r="K273" s="328"/>
      <c r="L273" s="330" t="str">
        <f t="shared" si="21"/>
        <v/>
      </c>
      <c r="M273" s="33"/>
      <c r="N273" s="168"/>
      <c r="O273" s="172"/>
      <c r="P273" s="183"/>
      <c r="Q273" s="183"/>
      <c r="R273" s="202"/>
      <c r="S273" s="34"/>
      <c r="T273" s="324"/>
      <c r="U273" s="327" t="str">
        <f t="shared" si="22"/>
        <v/>
      </c>
      <c r="V273" s="325"/>
      <c r="W273" s="320"/>
      <c r="X273" s="334"/>
      <c r="AB273" s="370">
        <v>271</v>
      </c>
      <c r="AC273" s="371">
        <f t="shared" si="33"/>
        <v>0</v>
      </c>
      <c r="AD273" s="371">
        <f t="shared" si="34"/>
        <v>0</v>
      </c>
      <c r="AE273" s="371">
        <f t="shared" si="35"/>
        <v>0</v>
      </c>
      <c r="AF273" s="371">
        <f t="shared" si="36"/>
        <v>0</v>
      </c>
      <c r="AG273" s="125" t="e">
        <f t="shared" si="37"/>
        <v>#N/A</v>
      </c>
    </row>
    <row r="274" spans="1:33" ht="15" customHeight="1" x14ac:dyDescent="0.35">
      <c r="A274" s="185">
        <v>272</v>
      </c>
      <c r="B274" s="172"/>
      <c r="C274" s="193"/>
      <c r="D274" s="324"/>
      <c r="E274" s="332" t="str">
        <f t="shared" si="9"/>
        <v/>
      </c>
      <c r="F274" s="170"/>
      <c r="G274" s="137"/>
      <c r="H274" s="339" t="str">
        <f t="shared" si="20"/>
        <v/>
      </c>
      <c r="I274" s="393"/>
      <c r="J274" s="169"/>
      <c r="K274" s="328"/>
      <c r="L274" s="330" t="str">
        <f t="shared" si="21"/>
        <v/>
      </c>
      <c r="M274" s="33"/>
      <c r="N274" s="168"/>
      <c r="O274" s="172"/>
      <c r="P274" s="183"/>
      <c r="Q274" s="183"/>
      <c r="R274" s="202"/>
      <c r="S274" s="34"/>
      <c r="T274" s="324"/>
      <c r="U274" s="327" t="str">
        <f t="shared" si="22"/>
        <v/>
      </c>
      <c r="V274" s="325"/>
      <c r="W274" s="320"/>
      <c r="X274" s="334"/>
      <c r="AB274" s="370">
        <v>272</v>
      </c>
      <c r="AC274" s="371">
        <f t="shared" si="33"/>
        <v>0</v>
      </c>
      <c r="AD274" s="371">
        <f t="shared" si="34"/>
        <v>0</v>
      </c>
      <c r="AE274" s="371">
        <f t="shared" si="35"/>
        <v>0</v>
      </c>
      <c r="AF274" s="371">
        <f t="shared" si="36"/>
        <v>0</v>
      </c>
      <c r="AG274" s="125" t="e">
        <f t="shared" si="37"/>
        <v>#N/A</v>
      </c>
    </row>
    <row r="275" spans="1:33" ht="15" customHeight="1" x14ac:dyDescent="0.35">
      <c r="A275" s="185">
        <v>273</v>
      </c>
      <c r="B275" s="172"/>
      <c r="C275" s="193"/>
      <c r="D275" s="324"/>
      <c r="E275" s="332" t="str">
        <f t="shared" si="9"/>
        <v/>
      </c>
      <c r="F275" s="170"/>
      <c r="G275" s="137"/>
      <c r="H275" s="339" t="str">
        <f t="shared" si="20"/>
        <v/>
      </c>
      <c r="I275" s="393"/>
      <c r="J275" s="169"/>
      <c r="K275" s="328"/>
      <c r="L275" s="330" t="str">
        <f t="shared" si="21"/>
        <v/>
      </c>
      <c r="M275" s="33"/>
      <c r="N275" s="168"/>
      <c r="O275" s="172"/>
      <c r="P275" s="183"/>
      <c r="Q275" s="183"/>
      <c r="R275" s="202"/>
      <c r="S275" s="34"/>
      <c r="T275" s="324"/>
      <c r="U275" s="327" t="str">
        <f t="shared" si="22"/>
        <v/>
      </c>
      <c r="V275" s="325"/>
      <c r="W275" s="320"/>
      <c r="X275" s="334"/>
      <c r="AB275" s="370">
        <v>273</v>
      </c>
      <c r="AC275" s="371">
        <f t="shared" si="33"/>
        <v>0</v>
      </c>
      <c r="AD275" s="371">
        <f t="shared" si="34"/>
        <v>0</v>
      </c>
      <c r="AE275" s="371">
        <f t="shared" si="35"/>
        <v>0</v>
      </c>
      <c r="AF275" s="371">
        <f t="shared" si="36"/>
        <v>0</v>
      </c>
      <c r="AG275" s="125" t="e">
        <f t="shared" si="37"/>
        <v>#N/A</v>
      </c>
    </row>
    <row r="276" spans="1:33" ht="15" customHeight="1" x14ac:dyDescent="0.35">
      <c r="A276" s="185">
        <v>274</v>
      </c>
      <c r="B276" s="172"/>
      <c r="C276" s="193"/>
      <c r="D276" s="324"/>
      <c r="E276" s="332" t="str">
        <f t="shared" si="9"/>
        <v/>
      </c>
      <c r="F276" s="170"/>
      <c r="G276" s="137"/>
      <c r="H276" s="339" t="str">
        <f t="shared" si="20"/>
        <v/>
      </c>
      <c r="I276" s="393"/>
      <c r="J276" s="169"/>
      <c r="K276" s="328"/>
      <c r="L276" s="330" t="str">
        <f t="shared" si="21"/>
        <v/>
      </c>
      <c r="M276" s="33"/>
      <c r="N276" s="168"/>
      <c r="O276" s="172"/>
      <c r="P276" s="183"/>
      <c r="Q276" s="183"/>
      <c r="R276" s="202"/>
      <c r="S276" s="34"/>
      <c r="T276" s="324"/>
      <c r="U276" s="327" t="str">
        <f t="shared" si="22"/>
        <v/>
      </c>
      <c r="V276" s="325"/>
      <c r="W276" s="320"/>
      <c r="X276" s="334"/>
      <c r="AB276" s="370">
        <v>274</v>
      </c>
      <c r="AC276" s="371">
        <f t="shared" si="33"/>
        <v>0</v>
      </c>
      <c r="AD276" s="371">
        <f t="shared" si="34"/>
        <v>0</v>
      </c>
      <c r="AE276" s="371">
        <f t="shared" si="35"/>
        <v>0</v>
      </c>
      <c r="AF276" s="371">
        <f t="shared" si="36"/>
        <v>0</v>
      </c>
      <c r="AG276" s="125" t="e">
        <f t="shared" si="37"/>
        <v>#N/A</v>
      </c>
    </row>
    <row r="277" spans="1:33" ht="15" customHeight="1" x14ac:dyDescent="0.35">
      <c r="A277" s="185">
        <v>275</v>
      </c>
      <c r="B277" s="172"/>
      <c r="C277" s="193"/>
      <c r="D277" s="324"/>
      <c r="E277" s="332" t="str">
        <f t="shared" si="9"/>
        <v/>
      </c>
      <c r="F277" s="170"/>
      <c r="G277" s="137"/>
      <c r="H277" s="339" t="str">
        <f t="shared" si="20"/>
        <v/>
      </c>
      <c r="I277" s="393"/>
      <c r="J277" s="169"/>
      <c r="K277" s="328"/>
      <c r="L277" s="330" t="str">
        <f t="shared" si="21"/>
        <v/>
      </c>
      <c r="M277" s="33"/>
      <c r="N277" s="168"/>
      <c r="O277" s="172"/>
      <c r="P277" s="183"/>
      <c r="Q277" s="183"/>
      <c r="R277" s="202"/>
      <c r="S277" s="34"/>
      <c r="T277" s="324"/>
      <c r="U277" s="327" t="str">
        <f t="shared" si="22"/>
        <v/>
      </c>
      <c r="V277" s="325"/>
      <c r="W277" s="320"/>
      <c r="X277" s="334"/>
      <c r="AB277" s="370">
        <v>275</v>
      </c>
      <c r="AC277" s="371">
        <f t="shared" si="33"/>
        <v>0</v>
      </c>
      <c r="AD277" s="371">
        <f t="shared" si="34"/>
        <v>0</v>
      </c>
      <c r="AE277" s="371">
        <f t="shared" si="35"/>
        <v>0</v>
      </c>
      <c r="AF277" s="371">
        <f t="shared" si="36"/>
        <v>0</v>
      </c>
      <c r="AG277" s="125" t="e">
        <f t="shared" si="37"/>
        <v>#N/A</v>
      </c>
    </row>
    <row r="278" spans="1:33" ht="15" customHeight="1" x14ac:dyDescent="0.35">
      <c r="A278" s="185">
        <v>276</v>
      </c>
      <c r="B278" s="172"/>
      <c r="C278" s="193"/>
      <c r="D278" s="324"/>
      <c r="E278" s="332" t="str">
        <f t="shared" si="9"/>
        <v/>
      </c>
      <c r="F278" s="170"/>
      <c r="G278" s="137"/>
      <c r="H278" s="339" t="str">
        <f t="shared" si="20"/>
        <v/>
      </c>
      <c r="I278" s="393"/>
      <c r="J278" s="169"/>
      <c r="K278" s="328"/>
      <c r="L278" s="330" t="str">
        <f t="shared" si="21"/>
        <v/>
      </c>
      <c r="M278" s="33"/>
      <c r="N278" s="168"/>
      <c r="O278" s="172"/>
      <c r="P278" s="183"/>
      <c r="Q278" s="183"/>
      <c r="R278" s="202"/>
      <c r="S278" s="34"/>
      <c r="T278" s="324"/>
      <c r="U278" s="327" t="str">
        <f t="shared" si="22"/>
        <v/>
      </c>
      <c r="V278" s="325"/>
      <c r="W278" s="320"/>
      <c r="X278" s="334"/>
      <c r="AB278" s="370">
        <v>276</v>
      </c>
      <c r="AC278" s="371">
        <f t="shared" si="33"/>
        <v>0</v>
      </c>
      <c r="AD278" s="371">
        <f t="shared" si="34"/>
        <v>0</v>
      </c>
      <c r="AE278" s="371">
        <f t="shared" si="35"/>
        <v>0</v>
      </c>
      <c r="AF278" s="371">
        <f t="shared" si="36"/>
        <v>0</v>
      </c>
      <c r="AG278" s="125" t="e">
        <f t="shared" si="37"/>
        <v>#N/A</v>
      </c>
    </row>
    <row r="279" spans="1:33" ht="15" customHeight="1" x14ac:dyDescent="0.35">
      <c r="A279" s="185">
        <v>277</v>
      </c>
      <c r="B279" s="172"/>
      <c r="C279" s="193"/>
      <c r="D279" s="324"/>
      <c r="E279" s="332" t="str">
        <f t="shared" si="9"/>
        <v/>
      </c>
      <c r="F279" s="170"/>
      <c r="G279" s="137"/>
      <c r="H279" s="339" t="str">
        <f t="shared" si="20"/>
        <v/>
      </c>
      <c r="I279" s="393"/>
      <c r="J279" s="169"/>
      <c r="K279" s="328"/>
      <c r="L279" s="330" t="str">
        <f t="shared" si="21"/>
        <v/>
      </c>
      <c r="M279" s="33"/>
      <c r="N279" s="168"/>
      <c r="O279" s="172"/>
      <c r="P279" s="183"/>
      <c r="Q279" s="183"/>
      <c r="R279" s="202"/>
      <c r="S279" s="34"/>
      <c r="T279" s="324"/>
      <c r="U279" s="327" t="str">
        <f t="shared" si="22"/>
        <v/>
      </c>
      <c r="V279" s="325"/>
      <c r="W279" s="320"/>
      <c r="X279" s="334"/>
      <c r="AB279" s="370">
        <v>277</v>
      </c>
      <c r="AC279" s="371">
        <f t="shared" si="33"/>
        <v>0</v>
      </c>
      <c r="AD279" s="371">
        <f t="shared" si="34"/>
        <v>0</v>
      </c>
      <c r="AE279" s="371">
        <f t="shared" si="35"/>
        <v>0</v>
      </c>
      <c r="AF279" s="371">
        <f t="shared" si="36"/>
        <v>0</v>
      </c>
      <c r="AG279" s="125" t="e">
        <f t="shared" si="37"/>
        <v>#N/A</v>
      </c>
    </row>
    <row r="280" spans="1:33" ht="15" customHeight="1" x14ac:dyDescent="0.35">
      <c r="A280" s="185">
        <v>278</v>
      </c>
      <c r="B280" s="172"/>
      <c r="C280" s="193"/>
      <c r="D280" s="324"/>
      <c r="E280" s="332" t="str">
        <f t="shared" si="9"/>
        <v/>
      </c>
      <c r="F280" s="170"/>
      <c r="G280" s="137"/>
      <c r="H280" s="339" t="str">
        <f t="shared" si="20"/>
        <v/>
      </c>
      <c r="I280" s="393"/>
      <c r="J280" s="169"/>
      <c r="K280" s="328"/>
      <c r="L280" s="330" t="str">
        <f t="shared" si="21"/>
        <v/>
      </c>
      <c r="M280" s="33"/>
      <c r="N280" s="168"/>
      <c r="O280" s="172"/>
      <c r="P280" s="183"/>
      <c r="Q280" s="183"/>
      <c r="R280" s="202"/>
      <c r="S280" s="34"/>
      <c r="T280" s="324"/>
      <c r="U280" s="327" t="str">
        <f t="shared" si="22"/>
        <v/>
      </c>
      <c r="V280" s="325"/>
      <c r="W280" s="320"/>
      <c r="X280" s="334"/>
      <c r="AB280" s="370">
        <v>278</v>
      </c>
      <c r="AC280" s="371">
        <f t="shared" si="33"/>
        <v>0</v>
      </c>
      <c r="AD280" s="371">
        <f t="shared" si="34"/>
        <v>0</v>
      </c>
      <c r="AE280" s="371">
        <f t="shared" si="35"/>
        <v>0</v>
      </c>
      <c r="AF280" s="371">
        <f t="shared" si="36"/>
        <v>0</v>
      </c>
      <c r="AG280" s="125" t="e">
        <f t="shared" si="37"/>
        <v>#N/A</v>
      </c>
    </row>
    <row r="281" spans="1:33" ht="15" customHeight="1" x14ac:dyDescent="0.35">
      <c r="A281" s="185">
        <v>279</v>
      </c>
      <c r="B281" s="172"/>
      <c r="C281" s="193"/>
      <c r="D281" s="324"/>
      <c r="E281" s="332" t="str">
        <f t="shared" si="9"/>
        <v/>
      </c>
      <c r="F281" s="170"/>
      <c r="G281" s="137"/>
      <c r="H281" s="339" t="str">
        <f t="shared" si="20"/>
        <v/>
      </c>
      <c r="I281" s="393"/>
      <c r="J281" s="169"/>
      <c r="K281" s="328"/>
      <c r="L281" s="330" t="str">
        <f t="shared" si="21"/>
        <v/>
      </c>
      <c r="M281" s="33"/>
      <c r="N281" s="168"/>
      <c r="O281" s="172"/>
      <c r="P281" s="183"/>
      <c r="Q281" s="183"/>
      <c r="R281" s="202"/>
      <c r="S281" s="34"/>
      <c r="T281" s="324"/>
      <c r="U281" s="327" t="str">
        <f t="shared" si="22"/>
        <v/>
      </c>
      <c r="V281" s="325"/>
      <c r="W281" s="320"/>
      <c r="X281" s="334"/>
      <c r="AB281" s="370">
        <v>279</v>
      </c>
      <c r="AC281" s="371">
        <f t="shared" si="33"/>
        <v>0</v>
      </c>
      <c r="AD281" s="371">
        <f t="shared" si="34"/>
        <v>0</v>
      </c>
      <c r="AE281" s="371">
        <f t="shared" si="35"/>
        <v>0</v>
      </c>
      <c r="AF281" s="371">
        <f t="shared" si="36"/>
        <v>0</v>
      </c>
      <c r="AG281" s="125" t="e">
        <f t="shared" si="37"/>
        <v>#N/A</v>
      </c>
    </row>
    <row r="282" spans="1:33" ht="15" customHeight="1" x14ac:dyDescent="0.35">
      <c r="A282" s="185">
        <v>280</v>
      </c>
      <c r="B282" s="172"/>
      <c r="C282" s="193"/>
      <c r="D282" s="324"/>
      <c r="E282" s="332" t="str">
        <f t="shared" si="9"/>
        <v/>
      </c>
      <c r="F282" s="170"/>
      <c r="G282" s="137"/>
      <c r="H282" s="339" t="str">
        <f t="shared" si="20"/>
        <v/>
      </c>
      <c r="I282" s="393"/>
      <c r="J282" s="169"/>
      <c r="K282" s="328"/>
      <c r="L282" s="330" t="str">
        <f t="shared" si="21"/>
        <v/>
      </c>
      <c r="M282" s="33"/>
      <c r="N282" s="168"/>
      <c r="O282" s="172"/>
      <c r="P282" s="183"/>
      <c r="Q282" s="183"/>
      <c r="R282" s="202"/>
      <c r="S282" s="34"/>
      <c r="T282" s="324"/>
      <c r="U282" s="327" t="str">
        <f t="shared" si="22"/>
        <v/>
      </c>
      <c r="V282" s="325"/>
      <c r="W282" s="320"/>
      <c r="X282" s="334"/>
      <c r="AB282" s="370">
        <v>280</v>
      </c>
      <c r="AC282" s="371">
        <f t="shared" si="33"/>
        <v>0</v>
      </c>
      <c r="AD282" s="371">
        <f t="shared" si="34"/>
        <v>0</v>
      </c>
      <c r="AE282" s="371">
        <f t="shared" si="35"/>
        <v>0</v>
      </c>
      <c r="AF282" s="371">
        <f t="shared" si="36"/>
        <v>0</v>
      </c>
      <c r="AG282" s="125" t="e">
        <f t="shared" si="37"/>
        <v>#N/A</v>
      </c>
    </row>
    <row r="283" spans="1:33" ht="15" customHeight="1" x14ac:dyDescent="0.35">
      <c r="A283" s="185">
        <v>281</v>
      </c>
      <c r="B283" s="172"/>
      <c r="C283" s="193"/>
      <c r="D283" s="324"/>
      <c r="E283" s="332" t="str">
        <f t="shared" si="9"/>
        <v/>
      </c>
      <c r="F283" s="170"/>
      <c r="G283" s="137"/>
      <c r="H283" s="339" t="str">
        <f t="shared" si="20"/>
        <v/>
      </c>
      <c r="I283" s="393"/>
      <c r="J283" s="169"/>
      <c r="K283" s="328"/>
      <c r="L283" s="330" t="str">
        <f t="shared" si="21"/>
        <v/>
      </c>
      <c r="M283" s="33"/>
      <c r="N283" s="168"/>
      <c r="O283" s="172"/>
      <c r="P283" s="183"/>
      <c r="Q283" s="183"/>
      <c r="R283" s="202"/>
      <c r="S283" s="34"/>
      <c r="T283" s="324"/>
      <c r="U283" s="327" t="str">
        <f t="shared" si="22"/>
        <v/>
      </c>
      <c r="V283" s="325"/>
      <c r="W283" s="320"/>
      <c r="X283" s="334"/>
      <c r="AB283" s="370">
        <v>281</v>
      </c>
      <c r="AC283" s="371">
        <f t="shared" si="33"/>
        <v>0</v>
      </c>
      <c r="AD283" s="371">
        <f t="shared" si="34"/>
        <v>0</v>
      </c>
      <c r="AE283" s="371">
        <f t="shared" si="35"/>
        <v>0</v>
      </c>
      <c r="AF283" s="371">
        <f t="shared" si="36"/>
        <v>0</v>
      </c>
      <c r="AG283" s="125" t="e">
        <f t="shared" si="37"/>
        <v>#N/A</v>
      </c>
    </row>
    <row r="284" spans="1:33" ht="15" customHeight="1" x14ac:dyDescent="0.35">
      <c r="A284" s="185">
        <v>282</v>
      </c>
      <c r="B284" s="172"/>
      <c r="C284" s="193"/>
      <c r="D284" s="324"/>
      <c r="E284" s="332" t="str">
        <f t="shared" si="9"/>
        <v/>
      </c>
      <c r="F284" s="170"/>
      <c r="G284" s="137"/>
      <c r="H284" s="339" t="str">
        <f t="shared" si="20"/>
        <v/>
      </c>
      <c r="I284" s="393"/>
      <c r="J284" s="169"/>
      <c r="K284" s="328"/>
      <c r="L284" s="330" t="str">
        <f t="shared" si="21"/>
        <v/>
      </c>
      <c r="M284" s="33"/>
      <c r="N284" s="168"/>
      <c r="O284" s="172"/>
      <c r="P284" s="183"/>
      <c r="Q284" s="183"/>
      <c r="R284" s="202"/>
      <c r="S284" s="34"/>
      <c r="T284" s="324"/>
      <c r="U284" s="327" t="str">
        <f t="shared" si="22"/>
        <v/>
      </c>
      <c r="V284" s="325"/>
      <c r="W284" s="320"/>
      <c r="X284" s="334"/>
      <c r="AB284" s="370">
        <v>282</v>
      </c>
      <c r="AC284" s="371">
        <f t="shared" si="33"/>
        <v>0</v>
      </c>
      <c r="AD284" s="371">
        <f t="shared" si="34"/>
        <v>0</v>
      </c>
      <c r="AE284" s="371">
        <f t="shared" si="35"/>
        <v>0</v>
      </c>
      <c r="AF284" s="371">
        <f t="shared" si="36"/>
        <v>0</v>
      </c>
      <c r="AG284" s="125" t="e">
        <f t="shared" si="37"/>
        <v>#N/A</v>
      </c>
    </row>
    <row r="285" spans="1:33" ht="15" customHeight="1" x14ac:dyDescent="0.35">
      <c r="A285" s="185">
        <v>283</v>
      </c>
      <c r="B285" s="172"/>
      <c r="C285" s="193"/>
      <c r="D285" s="324"/>
      <c r="E285" s="332" t="str">
        <f t="shared" si="9"/>
        <v/>
      </c>
      <c r="F285" s="170"/>
      <c r="G285" s="137"/>
      <c r="H285" s="339" t="str">
        <f t="shared" si="20"/>
        <v/>
      </c>
      <c r="I285" s="393"/>
      <c r="J285" s="169"/>
      <c r="K285" s="328"/>
      <c r="L285" s="330" t="str">
        <f t="shared" si="21"/>
        <v/>
      </c>
      <c r="M285" s="33"/>
      <c r="N285" s="168"/>
      <c r="O285" s="172"/>
      <c r="P285" s="183"/>
      <c r="Q285" s="183"/>
      <c r="R285" s="202"/>
      <c r="S285" s="34"/>
      <c r="T285" s="324"/>
      <c r="U285" s="327" t="str">
        <f t="shared" si="22"/>
        <v/>
      </c>
      <c r="V285" s="325"/>
      <c r="W285" s="320"/>
      <c r="X285" s="334"/>
      <c r="AB285" s="370">
        <v>283</v>
      </c>
      <c r="AC285" s="371">
        <f t="shared" si="33"/>
        <v>0</v>
      </c>
      <c r="AD285" s="371">
        <f t="shared" si="34"/>
        <v>0</v>
      </c>
      <c r="AE285" s="371">
        <f t="shared" si="35"/>
        <v>0</v>
      </c>
      <c r="AF285" s="371">
        <f t="shared" si="36"/>
        <v>0</v>
      </c>
      <c r="AG285" s="125" t="e">
        <f t="shared" si="37"/>
        <v>#N/A</v>
      </c>
    </row>
    <row r="286" spans="1:33" ht="15" customHeight="1" x14ac:dyDescent="0.35">
      <c r="A286" s="185">
        <v>284</v>
      </c>
      <c r="B286" s="172"/>
      <c r="C286" s="193"/>
      <c r="D286" s="324"/>
      <c r="E286" s="332" t="str">
        <f t="shared" si="9"/>
        <v/>
      </c>
      <c r="F286" s="170"/>
      <c r="G286" s="137"/>
      <c r="H286" s="339" t="str">
        <f t="shared" si="20"/>
        <v/>
      </c>
      <c r="I286" s="393"/>
      <c r="J286" s="169"/>
      <c r="K286" s="328"/>
      <c r="L286" s="330" t="str">
        <f t="shared" si="21"/>
        <v/>
      </c>
      <c r="M286" s="33"/>
      <c r="N286" s="168"/>
      <c r="O286" s="172"/>
      <c r="P286" s="183"/>
      <c r="Q286" s="183"/>
      <c r="R286" s="202"/>
      <c r="S286" s="34"/>
      <c r="T286" s="324"/>
      <c r="U286" s="327" t="str">
        <f t="shared" si="22"/>
        <v/>
      </c>
      <c r="V286" s="325"/>
      <c r="W286" s="320"/>
      <c r="X286" s="334"/>
      <c r="AB286" s="370">
        <v>284</v>
      </c>
      <c r="AC286" s="371">
        <f t="shared" si="33"/>
        <v>0</v>
      </c>
      <c r="AD286" s="371">
        <f t="shared" si="34"/>
        <v>0</v>
      </c>
      <c r="AE286" s="371">
        <f t="shared" si="35"/>
        <v>0</v>
      </c>
      <c r="AF286" s="371">
        <f t="shared" si="36"/>
        <v>0</v>
      </c>
      <c r="AG286" s="125" t="e">
        <f t="shared" si="37"/>
        <v>#N/A</v>
      </c>
    </row>
    <row r="287" spans="1:33" ht="15" customHeight="1" x14ac:dyDescent="0.35">
      <c r="A287" s="185">
        <v>285</v>
      </c>
      <c r="B287" s="172"/>
      <c r="C287" s="193"/>
      <c r="D287" s="324"/>
      <c r="E287" s="332" t="str">
        <f t="shared" si="9"/>
        <v/>
      </c>
      <c r="F287" s="170"/>
      <c r="G287" s="137"/>
      <c r="H287" s="339" t="str">
        <f t="shared" si="20"/>
        <v/>
      </c>
      <c r="I287" s="393"/>
      <c r="J287" s="169"/>
      <c r="K287" s="328"/>
      <c r="L287" s="330" t="str">
        <f t="shared" si="21"/>
        <v/>
      </c>
      <c r="M287" s="33"/>
      <c r="N287" s="168"/>
      <c r="O287" s="172"/>
      <c r="P287" s="183"/>
      <c r="Q287" s="183"/>
      <c r="R287" s="202"/>
      <c r="S287" s="34"/>
      <c r="T287" s="324"/>
      <c r="U287" s="327" t="str">
        <f t="shared" si="22"/>
        <v/>
      </c>
      <c r="V287" s="325"/>
      <c r="W287" s="320"/>
      <c r="X287" s="334"/>
      <c r="AB287" s="370">
        <v>285</v>
      </c>
      <c r="AC287" s="371">
        <f t="shared" si="33"/>
        <v>0</v>
      </c>
      <c r="AD287" s="371">
        <f t="shared" si="34"/>
        <v>0</v>
      </c>
      <c r="AE287" s="371">
        <f t="shared" si="35"/>
        <v>0</v>
      </c>
      <c r="AF287" s="371">
        <f t="shared" si="36"/>
        <v>0</v>
      </c>
      <c r="AG287" s="125" t="e">
        <f t="shared" si="37"/>
        <v>#N/A</v>
      </c>
    </row>
    <row r="288" spans="1:33" ht="15" customHeight="1" x14ac:dyDescent="0.35">
      <c r="A288" s="185">
        <v>286</v>
      </c>
      <c r="B288" s="172"/>
      <c r="C288" s="193"/>
      <c r="D288" s="324"/>
      <c r="E288" s="332" t="str">
        <f t="shared" si="9"/>
        <v/>
      </c>
      <c r="F288" s="170"/>
      <c r="G288" s="137"/>
      <c r="H288" s="339" t="str">
        <f t="shared" si="20"/>
        <v/>
      </c>
      <c r="I288" s="393"/>
      <c r="J288" s="169"/>
      <c r="K288" s="328"/>
      <c r="L288" s="330" t="str">
        <f t="shared" si="21"/>
        <v/>
      </c>
      <c r="M288" s="33"/>
      <c r="N288" s="168"/>
      <c r="O288" s="172"/>
      <c r="P288" s="183"/>
      <c r="Q288" s="183"/>
      <c r="R288" s="202"/>
      <c r="S288" s="34"/>
      <c r="T288" s="324"/>
      <c r="U288" s="327" t="str">
        <f t="shared" si="22"/>
        <v/>
      </c>
      <c r="V288" s="325"/>
      <c r="W288" s="320"/>
      <c r="X288" s="334"/>
      <c r="AB288" s="370">
        <v>286</v>
      </c>
      <c r="AC288" s="371">
        <f t="shared" si="33"/>
        <v>0</v>
      </c>
      <c r="AD288" s="371">
        <f t="shared" si="34"/>
        <v>0</v>
      </c>
      <c r="AE288" s="371">
        <f t="shared" si="35"/>
        <v>0</v>
      </c>
      <c r="AF288" s="371">
        <f t="shared" si="36"/>
        <v>0</v>
      </c>
      <c r="AG288" s="125" t="e">
        <f t="shared" si="37"/>
        <v>#N/A</v>
      </c>
    </row>
    <row r="289" spans="1:33" ht="15" customHeight="1" x14ac:dyDescent="0.35">
      <c r="A289" s="185">
        <v>287</v>
      </c>
      <c r="B289" s="172"/>
      <c r="C289" s="193"/>
      <c r="D289" s="324"/>
      <c r="E289" s="332" t="str">
        <f t="shared" ref="E289:E352" si="38">IF(AND(C289&lt;&gt;"",D289&lt;&gt;""),DATEDIF(C289,D289,"y"),"")</f>
        <v/>
      </c>
      <c r="F289" s="170"/>
      <c r="G289" s="137"/>
      <c r="H289" s="339" t="str">
        <f t="shared" si="20"/>
        <v/>
      </c>
      <c r="I289" s="393"/>
      <c r="J289" s="169"/>
      <c r="K289" s="328"/>
      <c r="L289" s="330" t="str">
        <f t="shared" si="21"/>
        <v/>
      </c>
      <c r="M289" s="33"/>
      <c r="N289" s="168"/>
      <c r="O289" s="172"/>
      <c r="P289" s="183"/>
      <c r="Q289" s="183"/>
      <c r="R289" s="202"/>
      <c r="S289" s="34"/>
      <c r="T289" s="324"/>
      <c r="U289" s="327" t="str">
        <f t="shared" si="22"/>
        <v/>
      </c>
      <c r="V289" s="325"/>
      <c r="W289" s="320"/>
      <c r="X289" s="334"/>
      <c r="AB289" s="370">
        <v>287</v>
      </c>
      <c r="AC289" s="371">
        <f t="shared" si="33"/>
        <v>0</v>
      </c>
      <c r="AD289" s="371">
        <f t="shared" si="34"/>
        <v>0</v>
      </c>
      <c r="AE289" s="371">
        <f t="shared" si="35"/>
        <v>0</v>
      </c>
      <c r="AF289" s="371">
        <f t="shared" si="36"/>
        <v>0</v>
      </c>
      <c r="AG289" s="125" t="e">
        <f t="shared" si="37"/>
        <v>#N/A</v>
      </c>
    </row>
    <row r="290" spans="1:33" ht="15" customHeight="1" x14ac:dyDescent="0.35">
      <c r="A290" s="185">
        <v>288</v>
      </c>
      <c r="B290" s="172"/>
      <c r="C290" s="193"/>
      <c r="D290" s="324"/>
      <c r="E290" s="332" t="str">
        <f t="shared" si="38"/>
        <v/>
      </c>
      <c r="F290" s="170"/>
      <c r="G290" s="137"/>
      <c r="H290" s="339" t="str">
        <f t="shared" si="20"/>
        <v/>
      </c>
      <c r="I290" s="393"/>
      <c r="J290" s="169"/>
      <c r="K290" s="328"/>
      <c r="L290" s="330" t="str">
        <f t="shared" si="21"/>
        <v/>
      </c>
      <c r="M290" s="33"/>
      <c r="N290" s="168"/>
      <c r="O290" s="172"/>
      <c r="P290" s="183"/>
      <c r="Q290" s="183"/>
      <c r="R290" s="202"/>
      <c r="S290" s="34"/>
      <c r="T290" s="324"/>
      <c r="U290" s="327" t="str">
        <f t="shared" si="22"/>
        <v/>
      </c>
      <c r="V290" s="325"/>
      <c r="W290" s="320"/>
      <c r="X290" s="334"/>
      <c r="AB290" s="370">
        <v>288</v>
      </c>
      <c r="AC290" s="371">
        <f t="shared" si="33"/>
        <v>0</v>
      </c>
      <c r="AD290" s="371">
        <f t="shared" si="34"/>
        <v>0</v>
      </c>
      <c r="AE290" s="371">
        <f t="shared" si="35"/>
        <v>0</v>
      </c>
      <c r="AF290" s="371">
        <f t="shared" si="36"/>
        <v>0</v>
      </c>
      <c r="AG290" s="125" t="e">
        <f t="shared" si="37"/>
        <v>#N/A</v>
      </c>
    </row>
    <row r="291" spans="1:33" ht="15" customHeight="1" x14ac:dyDescent="0.35">
      <c r="A291" s="185">
        <v>289</v>
      </c>
      <c r="B291" s="172"/>
      <c r="C291" s="193"/>
      <c r="D291" s="324"/>
      <c r="E291" s="332" t="str">
        <f t="shared" si="38"/>
        <v/>
      </c>
      <c r="F291" s="170"/>
      <c r="G291" s="137"/>
      <c r="H291" s="339" t="str">
        <f t="shared" si="20"/>
        <v/>
      </c>
      <c r="I291" s="393"/>
      <c r="J291" s="169"/>
      <c r="K291" s="328"/>
      <c r="L291" s="330" t="str">
        <f t="shared" si="21"/>
        <v/>
      </c>
      <c r="M291" s="33"/>
      <c r="N291" s="168"/>
      <c r="O291" s="172"/>
      <c r="P291" s="183"/>
      <c r="Q291" s="183"/>
      <c r="R291" s="202"/>
      <c r="S291" s="34"/>
      <c r="T291" s="324"/>
      <c r="U291" s="327" t="str">
        <f t="shared" si="22"/>
        <v/>
      </c>
      <c r="V291" s="325"/>
      <c r="W291" s="320"/>
      <c r="X291" s="334"/>
      <c r="AB291" s="370">
        <v>289</v>
      </c>
      <c r="AC291" s="371">
        <f t="shared" si="33"/>
        <v>0</v>
      </c>
      <c r="AD291" s="371">
        <f t="shared" si="34"/>
        <v>0</v>
      </c>
      <c r="AE291" s="371">
        <f t="shared" si="35"/>
        <v>0</v>
      </c>
      <c r="AF291" s="371">
        <f t="shared" si="36"/>
        <v>0</v>
      </c>
      <c r="AG291" s="125" t="e">
        <f t="shared" si="37"/>
        <v>#N/A</v>
      </c>
    </row>
    <row r="292" spans="1:33" ht="15" customHeight="1" x14ac:dyDescent="0.35">
      <c r="A292" s="185">
        <v>290</v>
      </c>
      <c r="B292" s="172"/>
      <c r="C292" s="193"/>
      <c r="D292" s="324"/>
      <c r="E292" s="332" t="str">
        <f t="shared" si="38"/>
        <v/>
      </c>
      <c r="F292" s="170"/>
      <c r="G292" s="137"/>
      <c r="H292" s="339" t="str">
        <f t="shared" si="20"/>
        <v/>
      </c>
      <c r="I292" s="393"/>
      <c r="J292" s="169"/>
      <c r="K292" s="328"/>
      <c r="L292" s="330" t="str">
        <f t="shared" si="21"/>
        <v/>
      </c>
      <c r="M292" s="33"/>
      <c r="N292" s="168"/>
      <c r="O292" s="172"/>
      <c r="P292" s="183"/>
      <c r="Q292" s="183"/>
      <c r="R292" s="202"/>
      <c r="S292" s="34"/>
      <c r="T292" s="324"/>
      <c r="U292" s="327" t="str">
        <f t="shared" si="22"/>
        <v/>
      </c>
      <c r="V292" s="325"/>
      <c r="W292" s="320"/>
      <c r="X292" s="334"/>
      <c r="AB292" s="370">
        <v>290</v>
      </c>
      <c r="AC292" s="371">
        <f t="shared" si="33"/>
        <v>0</v>
      </c>
      <c r="AD292" s="371">
        <f t="shared" si="34"/>
        <v>0</v>
      </c>
      <c r="AE292" s="371">
        <f t="shared" si="35"/>
        <v>0</v>
      </c>
      <c r="AF292" s="371">
        <f t="shared" si="36"/>
        <v>0</v>
      </c>
      <c r="AG292" s="125" t="e">
        <f t="shared" si="37"/>
        <v>#N/A</v>
      </c>
    </row>
    <row r="293" spans="1:33" ht="15" customHeight="1" x14ac:dyDescent="0.35">
      <c r="A293" s="185">
        <v>291</v>
      </c>
      <c r="B293" s="172"/>
      <c r="C293" s="193"/>
      <c r="D293" s="324"/>
      <c r="E293" s="332" t="str">
        <f t="shared" si="38"/>
        <v/>
      </c>
      <c r="F293" s="170"/>
      <c r="G293" s="137"/>
      <c r="H293" s="339" t="str">
        <f t="shared" si="20"/>
        <v/>
      </c>
      <c r="I293" s="393"/>
      <c r="J293" s="169"/>
      <c r="K293" s="328"/>
      <c r="L293" s="330" t="str">
        <f t="shared" si="21"/>
        <v/>
      </c>
      <c r="M293" s="33"/>
      <c r="N293" s="168"/>
      <c r="O293" s="172"/>
      <c r="P293" s="183"/>
      <c r="Q293" s="183"/>
      <c r="R293" s="202"/>
      <c r="S293" s="34"/>
      <c r="T293" s="324"/>
      <c r="U293" s="327" t="str">
        <f t="shared" si="22"/>
        <v/>
      </c>
      <c r="V293" s="325"/>
      <c r="W293" s="320"/>
      <c r="X293" s="334"/>
      <c r="AB293" s="370">
        <v>291</v>
      </c>
      <c r="AC293" s="371">
        <f t="shared" si="33"/>
        <v>0</v>
      </c>
      <c r="AD293" s="371">
        <f t="shared" si="34"/>
        <v>0</v>
      </c>
      <c r="AE293" s="371">
        <f t="shared" si="35"/>
        <v>0</v>
      </c>
      <c r="AF293" s="371">
        <f t="shared" si="36"/>
        <v>0</v>
      </c>
      <c r="AG293" s="125" t="e">
        <f t="shared" si="37"/>
        <v>#N/A</v>
      </c>
    </row>
    <row r="294" spans="1:33" ht="15" customHeight="1" x14ac:dyDescent="0.35">
      <c r="A294" s="185">
        <v>292</v>
      </c>
      <c r="B294" s="172"/>
      <c r="C294" s="193"/>
      <c r="D294" s="324"/>
      <c r="E294" s="332" t="str">
        <f t="shared" si="38"/>
        <v/>
      </c>
      <c r="F294" s="170"/>
      <c r="G294" s="137"/>
      <c r="H294" s="339" t="str">
        <f t="shared" si="20"/>
        <v/>
      </c>
      <c r="I294" s="393"/>
      <c r="J294" s="169"/>
      <c r="K294" s="328"/>
      <c r="L294" s="330" t="str">
        <f t="shared" si="21"/>
        <v/>
      </c>
      <c r="M294" s="33"/>
      <c r="N294" s="168"/>
      <c r="O294" s="172"/>
      <c r="P294" s="183"/>
      <c r="Q294" s="183"/>
      <c r="R294" s="202"/>
      <c r="S294" s="34"/>
      <c r="T294" s="324"/>
      <c r="U294" s="327" t="str">
        <f t="shared" si="22"/>
        <v/>
      </c>
      <c r="V294" s="325"/>
      <c r="W294" s="320"/>
      <c r="X294" s="334"/>
      <c r="AB294" s="370">
        <v>292</v>
      </c>
      <c r="AC294" s="371">
        <f t="shared" ref="AC294:AC351" si="39">IF(AND(E294&gt;0,E294&lt;25),1,0)</f>
        <v>0</v>
      </c>
      <c r="AD294" s="371">
        <f t="shared" ref="AD294:AD351" si="40">IF(AND(E294&gt;24,E294&lt;35),1,0)</f>
        <v>0</v>
      </c>
      <c r="AE294" s="371">
        <f t="shared" ref="AE294:AE351" si="41">IF(AND(E294&gt;34,E294&lt;60),1,0)</f>
        <v>0</v>
      </c>
      <c r="AF294" s="371">
        <f t="shared" ref="AF294:AF351" si="42">IF(AND(E294&gt;59,E294&lt;151),1,0)</f>
        <v>0</v>
      </c>
      <c r="AG294" s="125" t="e">
        <f t="shared" ref="AG294:AG351" si="43">_xlfn.IFS(AC294=1,1,AD294=1,2,AE294=1,3,AF294=1,4)</f>
        <v>#N/A</v>
      </c>
    </row>
    <row r="295" spans="1:33" ht="15" customHeight="1" x14ac:dyDescent="0.35">
      <c r="A295" s="185">
        <v>293</v>
      </c>
      <c r="B295" s="172"/>
      <c r="C295" s="193"/>
      <c r="D295" s="324"/>
      <c r="E295" s="332" t="str">
        <f t="shared" si="38"/>
        <v/>
      </c>
      <c r="F295" s="170"/>
      <c r="G295" s="137"/>
      <c r="H295" s="339" t="str">
        <f t="shared" si="20"/>
        <v/>
      </c>
      <c r="I295" s="393"/>
      <c r="J295" s="169"/>
      <c r="K295" s="328"/>
      <c r="L295" s="330" t="str">
        <f t="shared" si="21"/>
        <v/>
      </c>
      <c r="M295" s="33"/>
      <c r="N295" s="168"/>
      <c r="O295" s="172"/>
      <c r="P295" s="183"/>
      <c r="Q295" s="183"/>
      <c r="R295" s="202"/>
      <c r="S295" s="34"/>
      <c r="T295" s="324"/>
      <c r="U295" s="327" t="str">
        <f t="shared" si="22"/>
        <v/>
      </c>
      <c r="V295" s="325"/>
      <c r="W295" s="320"/>
      <c r="X295" s="334"/>
      <c r="AB295" s="370">
        <v>293</v>
      </c>
      <c r="AC295" s="371">
        <f t="shared" si="39"/>
        <v>0</v>
      </c>
      <c r="AD295" s="371">
        <f t="shared" si="40"/>
        <v>0</v>
      </c>
      <c r="AE295" s="371">
        <f t="shared" si="41"/>
        <v>0</v>
      </c>
      <c r="AF295" s="371">
        <f t="shared" si="42"/>
        <v>0</v>
      </c>
      <c r="AG295" s="125" t="e">
        <f t="shared" si="43"/>
        <v>#N/A</v>
      </c>
    </row>
    <row r="296" spans="1:33" ht="15" customHeight="1" x14ac:dyDescent="0.35">
      <c r="A296" s="185">
        <v>294</v>
      </c>
      <c r="B296" s="172"/>
      <c r="C296" s="193"/>
      <c r="D296" s="324"/>
      <c r="E296" s="332" t="str">
        <f t="shared" si="38"/>
        <v/>
      </c>
      <c r="F296" s="170"/>
      <c r="G296" s="137"/>
      <c r="H296" s="339" t="str">
        <f t="shared" si="20"/>
        <v/>
      </c>
      <c r="I296" s="393"/>
      <c r="J296" s="169"/>
      <c r="K296" s="328"/>
      <c r="L296" s="330" t="str">
        <f t="shared" si="21"/>
        <v/>
      </c>
      <c r="M296" s="33"/>
      <c r="N296" s="168"/>
      <c r="O296" s="172"/>
      <c r="P296" s="183"/>
      <c r="Q296" s="183"/>
      <c r="R296" s="202"/>
      <c r="S296" s="34"/>
      <c r="T296" s="324"/>
      <c r="U296" s="327" t="str">
        <f t="shared" si="22"/>
        <v/>
      </c>
      <c r="V296" s="325"/>
      <c r="W296" s="320"/>
      <c r="X296" s="334"/>
      <c r="AB296" s="370">
        <v>294</v>
      </c>
      <c r="AC296" s="371">
        <f t="shared" si="39"/>
        <v>0</v>
      </c>
      <c r="AD296" s="371">
        <f t="shared" si="40"/>
        <v>0</v>
      </c>
      <c r="AE296" s="371">
        <f t="shared" si="41"/>
        <v>0</v>
      </c>
      <c r="AF296" s="371">
        <f t="shared" si="42"/>
        <v>0</v>
      </c>
      <c r="AG296" s="125" t="e">
        <f t="shared" si="43"/>
        <v>#N/A</v>
      </c>
    </row>
    <row r="297" spans="1:33" ht="15" customHeight="1" x14ac:dyDescent="0.35">
      <c r="A297" s="185">
        <v>295</v>
      </c>
      <c r="B297" s="172"/>
      <c r="C297" s="193"/>
      <c r="D297" s="324"/>
      <c r="E297" s="332" t="str">
        <f t="shared" si="38"/>
        <v/>
      </c>
      <c r="F297" s="170"/>
      <c r="G297" s="137"/>
      <c r="H297" s="339" t="str">
        <f t="shared" si="20"/>
        <v/>
      </c>
      <c r="I297" s="393"/>
      <c r="J297" s="169"/>
      <c r="K297" s="328"/>
      <c r="L297" s="330" t="str">
        <f t="shared" si="21"/>
        <v/>
      </c>
      <c r="M297" s="33"/>
      <c r="N297" s="168"/>
      <c r="O297" s="172"/>
      <c r="P297" s="183"/>
      <c r="Q297" s="183"/>
      <c r="R297" s="202"/>
      <c r="S297" s="34"/>
      <c r="T297" s="324"/>
      <c r="U297" s="327" t="str">
        <f t="shared" si="22"/>
        <v/>
      </c>
      <c r="V297" s="325"/>
      <c r="W297" s="320"/>
      <c r="X297" s="334"/>
      <c r="AB297" s="370">
        <v>295</v>
      </c>
      <c r="AC297" s="371">
        <f t="shared" si="39"/>
        <v>0</v>
      </c>
      <c r="AD297" s="371">
        <f t="shared" si="40"/>
        <v>0</v>
      </c>
      <c r="AE297" s="371">
        <f t="shared" si="41"/>
        <v>0</v>
      </c>
      <c r="AF297" s="371">
        <f t="shared" si="42"/>
        <v>0</v>
      </c>
      <c r="AG297" s="125" t="e">
        <f t="shared" si="43"/>
        <v>#N/A</v>
      </c>
    </row>
    <row r="298" spans="1:33" ht="15" customHeight="1" x14ac:dyDescent="0.35">
      <c r="A298" s="185">
        <v>296</v>
      </c>
      <c r="B298" s="172"/>
      <c r="C298" s="193"/>
      <c r="D298" s="324"/>
      <c r="E298" s="332" t="str">
        <f t="shared" si="38"/>
        <v/>
      </c>
      <c r="F298" s="170"/>
      <c r="G298" s="137"/>
      <c r="H298" s="339" t="str">
        <f t="shared" si="20"/>
        <v/>
      </c>
      <c r="I298" s="393"/>
      <c r="J298" s="169"/>
      <c r="K298" s="328"/>
      <c r="L298" s="330" t="str">
        <f t="shared" si="21"/>
        <v/>
      </c>
      <c r="M298" s="33"/>
      <c r="N298" s="168"/>
      <c r="O298" s="172"/>
      <c r="P298" s="183"/>
      <c r="Q298" s="183"/>
      <c r="R298" s="202"/>
      <c r="S298" s="34"/>
      <c r="T298" s="324"/>
      <c r="U298" s="327" t="str">
        <f t="shared" si="22"/>
        <v/>
      </c>
      <c r="V298" s="325"/>
      <c r="W298" s="320"/>
      <c r="X298" s="334"/>
      <c r="AB298" s="370">
        <v>296</v>
      </c>
      <c r="AC298" s="371">
        <f t="shared" si="39"/>
        <v>0</v>
      </c>
      <c r="AD298" s="371">
        <f t="shared" si="40"/>
        <v>0</v>
      </c>
      <c r="AE298" s="371">
        <f t="shared" si="41"/>
        <v>0</v>
      </c>
      <c r="AF298" s="371">
        <f t="shared" si="42"/>
        <v>0</v>
      </c>
      <c r="AG298" s="125" t="e">
        <f t="shared" si="43"/>
        <v>#N/A</v>
      </c>
    </row>
    <row r="299" spans="1:33" ht="15" customHeight="1" x14ac:dyDescent="0.35">
      <c r="A299" s="185">
        <v>297</v>
      </c>
      <c r="B299" s="172"/>
      <c r="C299" s="193"/>
      <c r="D299" s="324"/>
      <c r="E299" s="332" t="str">
        <f t="shared" si="38"/>
        <v/>
      </c>
      <c r="F299" s="170"/>
      <c r="G299" s="137"/>
      <c r="H299" s="339" t="str">
        <f t="shared" si="20"/>
        <v/>
      </c>
      <c r="I299" s="393"/>
      <c r="J299" s="169"/>
      <c r="K299" s="328"/>
      <c r="L299" s="330" t="str">
        <f t="shared" si="21"/>
        <v/>
      </c>
      <c r="M299" s="33"/>
      <c r="N299" s="168"/>
      <c r="O299" s="172"/>
      <c r="P299" s="183"/>
      <c r="Q299" s="183"/>
      <c r="R299" s="202"/>
      <c r="S299" s="34"/>
      <c r="T299" s="324"/>
      <c r="U299" s="327" t="str">
        <f t="shared" si="22"/>
        <v/>
      </c>
      <c r="V299" s="325"/>
      <c r="W299" s="320"/>
      <c r="X299" s="334"/>
      <c r="AB299" s="370">
        <v>297</v>
      </c>
      <c r="AC299" s="371">
        <f t="shared" si="39"/>
        <v>0</v>
      </c>
      <c r="AD299" s="371">
        <f t="shared" si="40"/>
        <v>0</v>
      </c>
      <c r="AE299" s="371">
        <f t="shared" si="41"/>
        <v>0</v>
      </c>
      <c r="AF299" s="371">
        <f t="shared" si="42"/>
        <v>0</v>
      </c>
      <c r="AG299" s="125" t="e">
        <f t="shared" si="43"/>
        <v>#N/A</v>
      </c>
    </row>
    <row r="300" spans="1:33" ht="15" customHeight="1" x14ac:dyDescent="0.35">
      <c r="A300" s="185">
        <v>298</v>
      </c>
      <c r="B300" s="172"/>
      <c r="C300" s="193"/>
      <c r="D300" s="324"/>
      <c r="E300" s="332" t="str">
        <f t="shared" si="38"/>
        <v/>
      </c>
      <c r="F300" s="170"/>
      <c r="G300" s="137"/>
      <c r="H300" s="339" t="str">
        <f t="shared" si="20"/>
        <v/>
      </c>
      <c r="I300" s="393"/>
      <c r="J300" s="169"/>
      <c r="K300" s="328"/>
      <c r="L300" s="330" t="str">
        <f t="shared" si="21"/>
        <v/>
      </c>
      <c r="M300" s="33"/>
      <c r="N300" s="168"/>
      <c r="O300" s="172"/>
      <c r="P300" s="183"/>
      <c r="Q300" s="183"/>
      <c r="R300" s="202"/>
      <c r="S300" s="34"/>
      <c r="T300" s="324"/>
      <c r="U300" s="327" t="str">
        <f t="shared" si="22"/>
        <v/>
      </c>
      <c r="V300" s="325"/>
      <c r="W300" s="320"/>
      <c r="X300" s="334"/>
      <c r="AB300" s="370">
        <v>298</v>
      </c>
      <c r="AC300" s="371">
        <f t="shared" si="39"/>
        <v>0</v>
      </c>
      <c r="AD300" s="371">
        <f t="shared" si="40"/>
        <v>0</v>
      </c>
      <c r="AE300" s="371">
        <f t="shared" si="41"/>
        <v>0</v>
      </c>
      <c r="AF300" s="371">
        <f t="shared" si="42"/>
        <v>0</v>
      </c>
      <c r="AG300" s="125" t="e">
        <f t="shared" si="43"/>
        <v>#N/A</v>
      </c>
    </row>
    <row r="301" spans="1:33" ht="15" customHeight="1" x14ac:dyDescent="0.35">
      <c r="A301" s="185">
        <v>299</v>
      </c>
      <c r="B301" s="172"/>
      <c r="C301" s="193"/>
      <c r="D301" s="324"/>
      <c r="E301" s="332" t="str">
        <f t="shared" si="38"/>
        <v/>
      </c>
      <c r="F301" s="170"/>
      <c r="G301" s="137"/>
      <c r="H301" s="339" t="str">
        <f t="shared" si="20"/>
        <v/>
      </c>
      <c r="I301" s="393"/>
      <c r="J301" s="169"/>
      <c r="K301" s="328"/>
      <c r="L301" s="330" t="str">
        <f t="shared" si="21"/>
        <v/>
      </c>
      <c r="M301" s="33"/>
      <c r="N301" s="168"/>
      <c r="O301" s="172"/>
      <c r="P301" s="183"/>
      <c r="Q301" s="183"/>
      <c r="R301" s="202"/>
      <c r="S301" s="34"/>
      <c r="T301" s="324"/>
      <c r="U301" s="327" t="str">
        <f t="shared" si="22"/>
        <v/>
      </c>
      <c r="V301" s="325"/>
      <c r="W301" s="320"/>
      <c r="X301" s="334"/>
      <c r="AB301" s="370">
        <v>299</v>
      </c>
      <c r="AC301" s="371">
        <f t="shared" si="39"/>
        <v>0</v>
      </c>
      <c r="AD301" s="371">
        <f t="shared" si="40"/>
        <v>0</v>
      </c>
      <c r="AE301" s="371">
        <f t="shared" si="41"/>
        <v>0</v>
      </c>
      <c r="AF301" s="371">
        <f t="shared" si="42"/>
        <v>0</v>
      </c>
      <c r="AG301" s="125" t="e">
        <f t="shared" si="43"/>
        <v>#N/A</v>
      </c>
    </row>
    <row r="302" spans="1:33" ht="15" customHeight="1" x14ac:dyDescent="0.35">
      <c r="A302" s="185">
        <v>300</v>
      </c>
      <c r="B302" s="172"/>
      <c r="C302" s="193"/>
      <c r="D302" s="324"/>
      <c r="E302" s="332" t="str">
        <f t="shared" si="38"/>
        <v/>
      </c>
      <c r="F302" s="170"/>
      <c r="G302" s="137"/>
      <c r="H302" s="339" t="str">
        <f t="shared" si="20"/>
        <v/>
      </c>
      <c r="I302" s="393"/>
      <c r="J302" s="169"/>
      <c r="K302" s="328"/>
      <c r="L302" s="330" t="str">
        <f t="shared" si="21"/>
        <v/>
      </c>
      <c r="M302" s="33"/>
      <c r="N302" s="168"/>
      <c r="O302" s="172"/>
      <c r="P302" s="183"/>
      <c r="Q302" s="183"/>
      <c r="R302" s="202"/>
      <c r="S302" s="34"/>
      <c r="T302" s="324"/>
      <c r="U302" s="327" t="str">
        <f t="shared" si="22"/>
        <v/>
      </c>
      <c r="V302" s="325"/>
      <c r="W302" s="320"/>
      <c r="X302" s="334"/>
      <c r="AB302" s="370">
        <v>300</v>
      </c>
      <c r="AC302" s="371">
        <f t="shared" si="39"/>
        <v>0</v>
      </c>
      <c r="AD302" s="371">
        <f t="shared" si="40"/>
        <v>0</v>
      </c>
      <c r="AE302" s="371">
        <f t="shared" si="41"/>
        <v>0</v>
      </c>
      <c r="AF302" s="371">
        <f t="shared" si="42"/>
        <v>0</v>
      </c>
      <c r="AG302" s="125" t="e">
        <f t="shared" si="43"/>
        <v>#N/A</v>
      </c>
    </row>
    <row r="303" spans="1:33" ht="15" customHeight="1" x14ac:dyDescent="0.35">
      <c r="A303" s="185">
        <v>301</v>
      </c>
      <c r="B303" s="172"/>
      <c r="C303" s="193"/>
      <c r="D303" s="324"/>
      <c r="E303" s="332" t="str">
        <f t="shared" si="38"/>
        <v/>
      </c>
      <c r="F303" s="170"/>
      <c r="G303" s="137"/>
      <c r="H303" s="339" t="str">
        <f t="shared" si="20"/>
        <v/>
      </c>
      <c r="I303" s="393"/>
      <c r="J303" s="169"/>
      <c r="K303" s="328"/>
      <c r="L303" s="330" t="str">
        <f t="shared" si="21"/>
        <v/>
      </c>
      <c r="M303" s="33"/>
      <c r="N303" s="168"/>
      <c r="O303" s="172"/>
      <c r="P303" s="183"/>
      <c r="Q303" s="183"/>
      <c r="R303" s="202"/>
      <c r="S303" s="34"/>
      <c r="T303" s="324"/>
      <c r="U303" s="327" t="str">
        <f t="shared" si="22"/>
        <v/>
      </c>
      <c r="V303" s="325"/>
      <c r="W303" s="320"/>
      <c r="X303" s="334"/>
      <c r="AB303" s="370">
        <v>301</v>
      </c>
      <c r="AC303" s="371">
        <f t="shared" si="39"/>
        <v>0</v>
      </c>
      <c r="AD303" s="371">
        <f t="shared" si="40"/>
        <v>0</v>
      </c>
      <c r="AE303" s="371">
        <f t="shared" si="41"/>
        <v>0</v>
      </c>
      <c r="AF303" s="371">
        <f t="shared" si="42"/>
        <v>0</v>
      </c>
      <c r="AG303" s="125" t="e">
        <f t="shared" si="43"/>
        <v>#N/A</v>
      </c>
    </row>
    <row r="304" spans="1:33" ht="15" customHeight="1" x14ac:dyDescent="0.35">
      <c r="A304" s="185">
        <v>302</v>
      </c>
      <c r="B304" s="172"/>
      <c r="C304" s="193"/>
      <c r="D304" s="324"/>
      <c r="E304" s="332" t="str">
        <f t="shared" si="38"/>
        <v/>
      </c>
      <c r="F304" s="170"/>
      <c r="G304" s="137"/>
      <c r="H304" s="339" t="str">
        <f t="shared" si="20"/>
        <v/>
      </c>
      <c r="I304" s="393"/>
      <c r="J304" s="169"/>
      <c r="K304" s="328"/>
      <c r="L304" s="330" t="str">
        <f t="shared" si="21"/>
        <v/>
      </c>
      <c r="M304" s="33"/>
      <c r="N304" s="168"/>
      <c r="O304" s="172"/>
      <c r="P304" s="183"/>
      <c r="Q304" s="183"/>
      <c r="R304" s="202"/>
      <c r="S304" s="34"/>
      <c r="T304" s="324"/>
      <c r="U304" s="327" t="str">
        <f t="shared" si="22"/>
        <v/>
      </c>
      <c r="V304" s="325"/>
      <c r="W304" s="320"/>
      <c r="X304" s="334"/>
      <c r="AB304" s="370">
        <v>302</v>
      </c>
      <c r="AC304" s="371">
        <f t="shared" si="39"/>
        <v>0</v>
      </c>
      <c r="AD304" s="371">
        <f t="shared" si="40"/>
        <v>0</v>
      </c>
      <c r="AE304" s="371">
        <f t="shared" si="41"/>
        <v>0</v>
      </c>
      <c r="AF304" s="371">
        <f t="shared" si="42"/>
        <v>0</v>
      </c>
      <c r="AG304" s="125" t="e">
        <f t="shared" si="43"/>
        <v>#N/A</v>
      </c>
    </row>
    <row r="305" spans="1:33" ht="15" customHeight="1" x14ac:dyDescent="0.35">
      <c r="A305" s="185">
        <v>303</v>
      </c>
      <c r="B305" s="172"/>
      <c r="C305" s="193"/>
      <c r="D305" s="324"/>
      <c r="E305" s="332" t="str">
        <f t="shared" si="38"/>
        <v/>
      </c>
      <c r="F305" s="170"/>
      <c r="G305" s="137"/>
      <c r="H305" s="339" t="str">
        <f t="shared" si="20"/>
        <v/>
      </c>
      <c r="I305" s="393"/>
      <c r="J305" s="169"/>
      <c r="K305" s="328"/>
      <c r="L305" s="330" t="str">
        <f t="shared" si="21"/>
        <v/>
      </c>
      <c r="M305" s="33"/>
      <c r="N305" s="168"/>
      <c r="O305" s="172"/>
      <c r="P305" s="183"/>
      <c r="Q305" s="183"/>
      <c r="R305" s="202"/>
      <c r="S305" s="34"/>
      <c r="T305" s="324"/>
      <c r="U305" s="327" t="str">
        <f t="shared" si="22"/>
        <v/>
      </c>
      <c r="V305" s="325"/>
      <c r="W305" s="320"/>
      <c r="X305" s="334"/>
      <c r="AB305" s="370">
        <v>303</v>
      </c>
      <c r="AC305" s="371">
        <f t="shared" si="39"/>
        <v>0</v>
      </c>
      <c r="AD305" s="371">
        <f t="shared" si="40"/>
        <v>0</v>
      </c>
      <c r="AE305" s="371">
        <f t="shared" si="41"/>
        <v>0</v>
      </c>
      <c r="AF305" s="371">
        <f t="shared" si="42"/>
        <v>0</v>
      </c>
      <c r="AG305" s="125" t="e">
        <f t="shared" si="43"/>
        <v>#N/A</v>
      </c>
    </row>
    <row r="306" spans="1:33" ht="15" customHeight="1" x14ac:dyDescent="0.35">
      <c r="A306" s="185">
        <v>304</v>
      </c>
      <c r="B306" s="172"/>
      <c r="C306" s="193"/>
      <c r="D306" s="324"/>
      <c r="E306" s="332" t="str">
        <f t="shared" si="38"/>
        <v/>
      </c>
      <c r="F306" s="170"/>
      <c r="G306" s="137"/>
      <c r="H306" s="339" t="str">
        <f t="shared" si="20"/>
        <v/>
      </c>
      <c r="I306" s="393"/>
      <c r="J306" s="169"/>
      <c r="K306" s="328"/>
      <c r="L306" s="330" t="str">
        <f t="shared" si="21"/>
        <v/>
      </c>
      <c r="M306" s="33"/>
      <c r="N306" s="168"/>
      <c r="O306" s="172"/>
      <c r="P306" s="183"/>
      <c r="Q306" s="183"/>
      <c r="R306" s="202"/>
      <c r="S306" s="34"/>
      <c r="T306" s="324"/>
      <c r="U306" s="327" t="str">
        <f t="shared" si="22"/>
        <v/>
      </c>
      <c r="V306" s="325"/>
      <c r="W306" s="320"/>
      <c r="X306" s="334"/>
      <c r="AB306" s="370">
        <v>304</v>
      </c>
      <c r="AC306" s="371">
        <f t="shared" si="39"/>
        <v>0</v>
      </c>
      <c r="AD306" s="371">
        <f t="shared" si="40"/>
        <v>0</v>
      </c>
      <c r="AE306" s="371">
        <f t="shared" si="41"/>
        <v>0</v>
      </c>
      <c r="AF306" s="371">
        <f t="shared" si="42"/>
        <v>0</v>
      </c>
      <c r="AG306" s="125" t="e">
        <f t="shared" si="43"/>
        <v>#N/A</v>
      </c>
    </row>
    <row r="307" spans="1:33" ht="15" customHeight="1" x14ac:dyDescent="0.35">
      <c r="A307" s="185">
        <v>305</v>
      </c>
      <c r="B307" s="172"/>
      <c r="C307" s="193"/>
      <c r="D307" s="324"/>
      <c r="E307" s="332" t="str">
        <f t="shared" si="38"/>
        <v/>
      </c>
      <c r="F307" s="170"/>
      <c r="G307" s="137"/>
      <c r="H307" s="339" t="str">
        <f t="shared" si="20"/>
        <v/>
      </c>
      <c r="I307" s="393"/>
      <c r="J307" s="169"/>
      <c r="K307" s="328"/>
      <c r="L307" s="330" t="str">
        <f t="shared" si="21"/>
        <v/>
      </c>
      <c r="M307" s="33"/>
      <c r="N307" s="168"/>
      <c r="O307" s="172"/>
      <c r="P307" s="183"/>
      <c r="Q307" s="183"/>
      <c r="R307" s="202"/>
      <c r="S307" s="34"/>
      <c r="T307" s="324"/>
      <c r="U307" s="327" t="str">
        <f t="shared" si="22"/>
        <v/>
      </c>
      <c r="V307" s="325"/>
      <c r="W307" s="320"/>
      <c r="X307" s="334"/>
      <c r="AB307" s="370">
        <v>305</v>
      </c>
      <c r="AC307" s="371">
        <f t="shared" si="39"/>
        <v>0</v>
      </c>
      <c r="AD307" s="371">
        <f t="shared" si="40"/>
        <v>0</v>
      </c>
      <c r="AE307" s="371">
        <f t="shared" si="41"/>
        <v>0</v>
      </c>
      <c r="AF307" s="371">
        <f t="shared" si="42"/>
        <v>0</v>
      </c>
      <c r="AG307" s="125" t="e">
        <f t="shared" si="43"/>
        <v>#N/A</v>
      </c>
    </row>
    <row r="308" spans="1:33" ht="15" customHeight="1" x14ac:dyDescent="0.35">
      <c r="A308" s="185">
        <v>306</v>
      </c>
      <c r="B308" s="172"/>
      <c r="C308" s="193"/>
      <c r="D308" s="324"/>
      <c r="E308" s="332" t="str">
        <f t="shared" si="38"/>
        <v/>
      </c>
      <c r="F308" s="170"/>
      <c r="G308" s="137"/>
      <c r="H308" s="339" t="str">
        <f t="shared" si="20"/>
        <v/>
      </c>
      <c r="I308" s="393"/>
      <c r="J308" s="169"/>
      <c r="K308" s="328"/>
      <c r="L308" s="330" t="str">
        <f t="shared" si="21"/>
        <v/>
      </c>
      <c r="M308" s="33"/>
      <c r="N308" s="168"/>
      <c r="O308" s="172"/>
      <c r="P308" s="183"/>
      <c r="Q308" s="183"/>
      <c r="R308" s="202"/>
      <c r="S308" s="34"/>
      <c r="T308" s="324"/>
      <c r="U308" s="327" t="str">
        <f t="shared" si="22"/>
        <v/>
      </c>
      <c r="V308" s="325"/>
      <c r="W308" s="320"/>
      <c r="X308" s="334"/>
      <c r="AB308" s="370">
        <v>306</v>
      </c>
      <c r="AC308" s="371">
        <f t="shared" si="39"/>
        <v>0</v>
      </c>
      <c r="AD308" s="371">
        <f t="shared" si="40"/>
        <v>0</v>
      </c>
      <c r="AE308" s="371">
        <f t="shared" si="41"/>
        <v>0</v>
      </c>
      <c r="AF308" s="371">
        <f t="shared" si="42"/>
        <v>0</v>
      </c>
      <c r="AG308" s="125" t="e">
        <f t="shared" si="43"/>
        <v>#N/A</v>
      </c>
    </row>
    <row r="309" spans="1:33" ht="15" customHeight="1" x14ac:dyDescent="0.35">
      <c r="A309" s="185">
        <v>307</v>
      </c>
      <c r="B309" s="172"/>
      <c r="C309" s="193"/>
      <c r="D309" s="324"/>
      <c r="E309" s="332" t="str">
        <f t="shared" si="38"/>
        <v/>
      </c>
      <c r="F309" s="170"/>
      <c r="G309" s="137"/>
      <c r="H309" s="339" t="str">
        <f t="shared" si="20"/>
        <v/>
      </c>
      <c r="I309" s="393"/>
      <c r="J309" s="169"/>
      <c r="K309" s="328"/>
      <c r="L309" s="330" t="str">
        <f t="shared" si="21"/>
        <v/>
      </c>
      <c r="M309" s="33"/>
      <c r="N309" s="168"/>
      <c r="O309" s="172"/>
      <c r="P309" s="183"/>
      <c r="Q309" s="183"/>
      <c r="R309" s="202"/>
      <c r="S309" s="34"/>
      <c r="T309" s="324"/>
      <c r="U309" s="327" t="str">
        <f t="shared" si="22"/>
        <v/>
      </c>
      <c r="V309" s="325"/>
      <c r="W309" s="320"/>
      <c r="X309" s="334"/>
      <c r="AB309" s="370">
        <v>307</v>
      </c>
      <c r="AC309" s="371">
        <f t="shared" si="39"/>
        <v>0</v>
      </c>
      <c r="AD309" s="371">
        <f t="shared" si="40"/>
        <v>0</v>
      </c>
      <c r="AE309" s="371">
        <f t="shared" si="41"/>
        <v>0</v>
      </c>
      <c r="AF309" s="371">
        <f t="shared" si="42"/>
        <v>0</v>
      </c>
      <c r="AG309" s="125" t="e">
        <f t="shared" si="43"/>
        <v>#N/A</v>
      </c>
    </row>
    <row r="310" spans="1:33" ht="15" customHeight="1" x14ac:dyDescent="0.35">
      <c r="A310" s="185">
        <v>308</v>
      </c>
      <c r="B310" s="172"/>
      <c r="C310" s="193"/>
      <c r="D310" s="324"/>
      <c r="E310" s="332" t="str">
        <f t="shared" si="38"/>
        <v/>
      </c>
      <c r="F310" s="170"/>
      <c r="G310" s="137"/>
      <c r="H310" s="339" t="str">
        <f t="shared" si="20"/>
        <v/>
      </c>
      <c r="I310" s="393"/>
      <c r="J310" s="169"/>
      <c r="K310" s="328"/>
      <c r="L310" s="330" t="str">
        <f t="shared" si="21"/>
        <v/>
      </c>
      <c r="M310" s="33"/>
      <c r="N310" s="168"/>
      <c r="O310" s="172"/>
      <c r="P310" s="183"/>
      <c r="Q310" s="183"/>
      <c r="R310" s="202"/>
      <c r="S310" s="34"/>
      <c r="T310" s="324"/>
      <c r="U310" s="327" t="str">
        <f t="shared" si="22"/>
        <v/>
      </c>
      <c r="V310" s="325"/>
      <c r="W310" s="320"/>
      <c r="X310" s="334"/>
      <c r="AB310" s="370">
        <v>308</v>
      </c>
      <c r="AC310" s="371">
        <f t="shared" si="39"/>
        <v>0</v>
      </c>
      <c r="AD310" s="371">
        <f t="shared" si="40"/>
        <v>0</v>
      </c>
      <c r="AE310" s="371">
        <f t="shared" si="41"/>
        <v>0</v>
      </c>
      <c r="AF310" s="371">
        <f t="shared" si="42"/>
        <v>0</v>
      </c>
      <c r="AG310" s="125" t="e">
        <f t="shared" si="43"/>
        <v>#N/A</v>
      </c>
    </row>
    <row r="311" spans="1:33" ht="15" customHeight="1" x14ac:dyDescent="0.35">
      <c r="A311" s="185">
        <v>309</v>
      </c>
      <c r="B311" s="172"/>
      <c r="C311" s="193"/>
      <c r="D311" s="324"/>
      <c r="E311" s="332" t="str">
        <f t="shared" si="38"/>
        <v/>
      </c>
      <c r="F311" s="170"/>
      <c r="G311" s="137"/>
      <c r="H311" s="339" t="str">
        <f t="shared" si="20"/>
        <v/>
      </c>
      <c r="I311" s="393"/>
      <c r="J311" s="169"/>
      <c r="K311" s="328"/>
      <c r="L311" s="330" t="str">
        <f t="shared" si="21"/>
        <v/>
      </c>
      <c r="M311" s="33"/>
      <c r="N311" s="168"/>
      <c r="O311" s="172"/>
      <c r="P311" s="183"/>
      <c r="Q311" s="183"/>
      <c r="R311" s="202"/>
      <c r="S311" s="34"/>
      <c r="T311" s="324"/>
      <c r="U311" s="327" t="str">
        <f t="shared" si="22"/>
        <v/>
      </c>
      <c r="V311" s="325"/>
      <c r="W311" s="320"/>
      <c r="X311" s="334"/>
      <c r="AB311" s="370">
        <v>309</v>
      </c>
      <c r="AC311" s="371">
        <f t="shared" si="39"/>
        <v>0</v>
      </c>
      <c r="AD311" s="371">
        <f t="shared" si="40"/>
        <v>0</v>
      </c>
      <c r="AE311" s="371">
        <f t="shared" si="41"/>
        <v>0</v>
      </c>
      <c r="AF311" s="371">
        <f t="shared" si="42"/>
        <v>0</v>
      </c>
      <c r="AG311" s="125" t="e">
        <f t="shared" si="43"/>
        <v>#N/A</v>
      </c>
    </row>
    <row r="312" spans="1:33" ht="15" customHeight="1" x14ac:dyDescent="0.35">
      <c r="A312" s="185">
        <v>310</v>
      </c>
      <c r="B312" s="172"/>
      <c r="C312" s="193"/>
      <c r="D312" s="324"/>
      <c r="E312" s="332" t="str">
        <f t="shared" si="38"/>
        <v/>
      </c>
      <c r="F312" s="170"/>
      <c r="G312" s="137"/>
      <c r="H312" s="339" t="str">
        <f t="shared" si="20"/>
        <v/>
      </c>
      <c r="I312" s="393"/>
      <c r="J312" s="169"/>
      <c r="K312" s="328"/>
      <c r="L312" s="330" t="str">
        <f t="shared" si="21"/>
        <v/>
      </c>
      <c r="M312" s="33"/>
      <c r="N312" s="168"/>
      <c r="O312" s="172"/>
      <c r="P312" s="183"/>
      <c r="Q312" s="183"/>
      <c r="R312" s="202"/>
      <c r="S312" s="34"/>
      <c r="T312" s="324"/>
      <c r="U312" s="327" t="str">
        <f t="shared" si="22"/>
        <v/>
      </c>
      <c r="V312" s="325"/>
      <c r="W312" s="320"/>
      <c r="X312" s="334"/>
      <c r="AB312" s="370">
        <v>310</v>
      </c>
      <c r="AC312" s="371">
        <f t="shared" si="39"/>
        <v>0</v>
      </c>
      <c r="AD312" s="371">
        <f t="shared" si="40"/>
        <v>0</v>
      </c>
      <c r="AE312" s="371">
        <f t="shared" si="41"/>
        <v>0</v>
      </c>
      <c r="AF312" s="371">
        <f t="shared" si="42"/>
        <v>0</v>
      </c>
      <c r="AG312" s="125" t="e">
        <f t="shared" si="43"/>
        <v>#N/A</v>
      </c>
    </row>
    <row r="313" spans="1:33" ht="15" customHeight="1" x14ac:dyDescent="0.35">
      <c r="A313" s="185">
        <v>311</v>
      </c>
      <c r="B313" s="172"/>
      <c r="C313" s="193"/>
      <c r="D313" s="324"/>
      <c r="E313" s="332" t="str">
        <f t="shared" si="38"/>
        <v/>
      </c>
      <c r="F313" s="170"/>
      <c r="G313" s="137"/>
      <c r="H313" s="339" t="str">
        <f t="shared" si="20"/>
        <v/>
      </c>
      <c r="I313" s="393"/>
      <c r="J313" s="169"/>
      <c r="K313" s="328"/>
      <c r="L313" s="330" t="str">
        <f t="shared" si="21"/>
        <v/>
      </c>
      <c r="M313" s="33"/>
      <c r="N313" s="168"/>
      <c r="O313" s="172"/>
      <c r="P313" s="183"/>
      <c r="Q313" s="183"/>
      <c r="R313" s="202"/>
      <c r="S313" s="34"/>
      <c r="T313" s="324"/>
      <c r="U313" s="327" t="str">
        <f t="shared" si="22"/>
        <v/>
      </c>
      <c r="V313" s="325"/>
      <c r="W313" s="320"/>
      <c r="X313" s="334"/>
      <c r="AB313" s="370">
        <v>311</v>
      </c>
      <c r="AC313" s="371">
        <f t="shared" si="39"/>
        <v>0</v>
      </c>
      <c r="AD313" s="371">
        <f t="shared" si="40"/>
        <v>0</v>
      </c>
      <c r="AE313" s="371">
        <f t="shared" si="41"/>
        <v>0</v>
      </c>
      <c r="AF313" s="371">
        <f t="shared" si="42"/>
        <v>0</v>
      </c>
      <c r="AG313" s="125" t="e">
        <f t="shared" si="43"/>
        <v>#N/A</v>
      </c>
    </row>
    <row r="314" spans="1:33" ht="15" customHeight="1" x14ac:dyDescent="0.35">
      <c r="A314" s="185">
        <v>312</v>
      </c>
      <c r="B314" s="172"/>
      <c r="C314" s="193"/>
      <c r="D314" s="324"/>
      <c r="E314" s="332" t="str">
        <f t="shared" si="38"/>
        <v/>
      </c>
      <c r="F314" s="170"/>
      <c r="G314" s="137"/>
      <c r="H314" s="339" t="str">
        <f t="shared" si="20"/>
        <v/>
      </c>
      <c r="I314" s="393"/>
      <c r="J314" s="169"/>
      <c r="K314" s="328"/>
      <c r="L314" s="330" t="str">
        <f t="shared" si="21"/>
        <v/>
      </c>
      <c r="M314" s="33"/>
      <c r="N314" s="168"/>
      <c r="O314" s="172"/>
      <c r="P314" s="183"/>
      <c r="Q314" s="183"/>
      <c r="R314" s="202"/>
      <c r="S314" s="34"/>
      <c r="T314" s="324"/>
      <c r="U314" s="327" t="str">
        <f t="shared" si="22"/>
        <v/>
      </c>
      <c r="V314" s="325"/>
      <c r="W314" s="320"/>
      <c r="X314" s="334"/>
      <c r="AB314" s="370">
        <v>312</v>
      </c>
      <c r="AC314" s="371">
        <f t="shared" si="39"/>
        <v>0</v>
      </c>
      <c r="AD314" s="371">
        <f t="shared" si="40"/>
        <v>0</v>
      </c>
      <c r="AE314" s="371">
        <f t="shared" si="41"/>
        <v>0</v>
      </c>
      <c r="AF314" s="371">
        <f t="shared" si="42"/>
        <v>0</v>
      </c>
      <c r="AG314" s="125" t="e">
        <f t="shared" si="43"/>
        <v>#N/A</v>
      </c>
    </row>
    <row r="315" spans="1:33" ht="15" customHeight="1" x14ac:dyDescent="0.35">
      <c r="A315" s="185">
        <v>313</v>
      </c>
      <c r="B315" s="172"/>
      <c r="C315" s="193"/>
      <c r="D315" s="324"/>
      <c r="E315" s="332" t="str">
        <f t="shared" si="38"/>
        <v/>
      </c>
      <c r="F315" s="170"/>
      <c r="G315" s="137"/>
      <c r="H315" s="339" t="str">
        <f t="shared" si="20"/>
        <v/>
      </c>
      <c r="I315" s="393"/>
      <c r="J315" s="169"/>
      <c r="K315" s="328"/>
      <c r="L315" s="330" t="str">
        <f t="shared" si="21"/>
        <v/>
      </c>
      <c r="M315" s="33"/>
      <c r="N315" s="168"/>
      <c r="O315" s="172"/>
      <c r="P315" s="183"/>
      <c r="Q315" s="183"/>
      <c r="R315" s="202"/>
      <c r="S315" s="34"/>
      <c r="T315" s="324"/>
      <c r="U315" s="327" t="str">
        <f t="shared" si="22"/>
        <v/>
      </c>
      <c r="V315" s="325"/>
      <c r="W315" s="320"/>
      <c r="X315" s="334"/>
      <c r="AB315" s="370">
        <v>313</v>
      </c>
      <c r="AC315" s="371">
        <f t="shared" si="39"/>
        <v>0</v>
      </c>
      <c r="AD315" s="371">
        <f t="shared" si="40"/>
        <v>0</v>
      </c>
      <c r="AE315" s="371">
        <f t="shared" si="41"/>
        <v>0</v>
      </c>
      <c r="AF315" s="371">
        <f t="shared" si="42"/>
        <v>0</v>
      </c>
      <c r="AG315" s="125" t="e">
        <f t="shared" si="43"/>
        <v>#N/A</v>
      </c>
    </row>
    <row r="316" spans="1:33" ht="15" customHeight="1" x14ac:dyDescent="0.35">
      <c r="A316" s="185">
        <v>314</v>
      </c>
      <c r="B316" s="172"/>
      <c r="C316" s="193"/>
      <c r="D316" s="324"/>
      <c r="E316" s="332" t="str">
        <f t="shared" si="38"/>
        <v/>
      </c>
      <c r="F316" s="170"/>
      <c r="G316" s="137"/>
      <c r="H316" s="339" t="str">
        <f t="shared" si="20"/>
        <v/>
      </c>
      <c r="I316" s="393"/>
      <c r="J316" s="169"/>
      <c r="K316" s="328"/>
      <c r="L316" s="330" t="str">
        <f t="shared" si="21"/>
        <v/>
      </c>
      <c r="M316" s="33"/>
      <c r="N316" s="168"/>
      <c r="O316" s="172"/>
      <c r="P316" s="183"/>
      <c r="Q316" s="183"/>
      <c r="R316" s="202"/>
      <c r="S316" s="34"/>
      <c r="T316" s="324"/>
      <c r="U316" s="327" t="str">
        <f t="shared" si="22"/>
        <v/>
      </c>
      <c r="V316" s="325"/>
      <c r="W316" s="320"/>
      <c r="X316" s="334"/>
      <c r="AB316" s="370">
        <v>314</v>
      </c>
      <c r="AC316" s="371">
        <f t="shared" si="39"/>
        <v>0</v>
      </c>
      <c r="AD316" s="371">
        <f t="shared" si="40"/>
        <v>0</v>
      </c>
      <c r="AE316" s="371">
        <f t="shared" si="41"/>
        <v>0</v>
      </c>
      <c r="AF316" s="371">
        <f t="shared" si="42"/>
        <v>0</v>
      </c>
      <c r="AG316" s="125" t="e">
        <f t="shared" si="43"/>
        <v>#N/A</v>
      </c>
    </row>
    <row r="317" spans="1:33" ht="15" customHeight="1" x14ac:dyDescent="0.35">
      <c r="A317" s="185">
        <v>315</v>
      </c>
      <c r="B317" s="172"/>
      <c r="C317" s="193"/>
      <c r="D317" s="324"/>
      <c r="E317" s="332" t="str">
        <f t="shared" si="38"/>
        <v/>
      </c>
      <c r="F317" s="170"/>
      <c r="G317" s="137"/>
      <c r="H317" s="339" t="str">
        <f t="shared" si="20"/>
        <v/>
      </c>
      <c r="I317" s="393"/>
      <c r="J317" s="169"/>
      <c r="K317" s="328"/>
      <c r="L317" s="330" t="str">
        <f t="shared" si="21"/>
        <v/>
      </c>
      <c r="M317" s="33"/>
      <c r="N317" s="168"/>
      <c r="O317" s="172"/>
      <c r="P317" s="183"/>
      <c r="Q317" s="183"/>
      <c r="R317" s="202"/>
      <c r="S317" s="34"/>
      <c r="T317" s="324"/>
      <c r="U317" s="327" t="str">
        <f t="shared" si="22"/>
        <v/>
      </c>
      <c r="V317" s="325"/>
      <c r="W317" s="320"/>
      <c r="X317" s="334"/>
      <c r="AB317" s="370">
        <v>315</v>
      </c>
      <c r="AC317" s="371">
        <f t="shared" si="39"/>
        <v>0</v>
      </c>
      <c r="AD317" s="371">
        <f t="shared" si="40"/>
        <v>0</v>
      </c>
      <c r="AE317" s="371">
        <f t="shared" si="41"/>
        <v>0</v>
      </c>
      <c r="AF317" s="371">
        <f t="shared" si="42"/>
        <v>0</v>
      </c>
      <c r="AG317" s="125" t="e">
        <f t="shared" si="43"/>
        <v>#N/A</v>
      </c>
    </row>
    <row r="318" spans="1:33" ht="15" customHeight="1" x14ac:dyDescent="0.35">
      <c r="A318" s="185">
        <v>316</v>
      </c>
      <c r="B318" s="172"/>
      <c r="C318" s="193"/>
      <c r="D318" s="324"/>
      <c r="E318" s="332" t="str">
        <f t="shared" si="38"/>
        <v/>
      </c>
      <c r="F318" s="170"/>
      <c r="G318" s="137"/>
      <c r="H318" s="339" t="str">
        <f t="shared" si="20"/>
        <v/>
      </c>
      <c r="I318" s="393"/>
      <c r="J318" s="169"/>
      <c r="K318" s="328"/>
      <c r="L318" s="330" t="str">
        <f t="shared" si="21"/>
        <v/>
      </c>
      <c r="M318" s="33"/>
      <c r="N318" s="168"/>
      <c r="O318" s="172"/>
      <c r="P318" s="183"/>
      <c r="Q318" s="183"/>
      <c r="R318" s="202"/>
      <c r="S318" s="34"/>
      <c r="T318" s="324"/>
      <c r="U318" s="327" t="str">
        <f t="shared" si="22"/>
        <v/>
      </c>
      <c r="V318" s="325"/>
      <c r="W318" s="320"/>
      <c r="X318" s="334"/>
      <c r="AB318" s="370">
        <v>316</v>
      </c>
      <c r="AC318" s="371">
        <f t="shared" si="39"/>
        <v>0</v>
      </c>
      <c r="AD318" s="371">
        <f t="shared" si="40"/>
        <v>0</v>
      </c>
      <c r="AE318" s="371">
        <f t="shared" si="41"/>
        <v>0</v>
      </c>
      <c r="AF318" s="371">
        <f t="shared" si="42"/>
        <v>0</v>
      </c>
      <c r="AG318" s="125" t="e">
        <f t="shared" si="43"/>
        <v>#N/A</v>
      </c>
    </row>
    <row r="319" spans="1:33" ht="15" customHeight="1" x14ac:dyDescent="0.35">
      <c r="A319" s="185">
        <v>317</v>
      </c>
      <c r="B319" s="172"/>
      <c r="C319" s="193"/>
      <c r="D319" s="324"/>
      <c r="E319" s="332" t="str">
        <f t="shared" si="38"/>
        <v/>
      </c>
      <c r="F319" s="170"/>
      <c r="G319" s="137"/>
      <c r="H319" s="339" t="str">
        <f t="shared" si="20"/>
        <v/>
      </c>
      <c r="I319" s="393"/>
      <c r="J319" s="169"/>
      <c r="K319" s="328"/>
      <c r="L319" s="330" t="str">
        <f t="shared" si="21"/>
        <v/>
      </c>
      <c r="M319" s="33"/>
      <c r="N319" s="168"/>
      <c r="O319" s="172"/>
      <c r="P319" s="183"/>
      <c r="Q319" s="183"/>
      <c r="R319" s="202"/>
      <c r="S319" s="34"/>
      <c r="T319" s="324"/>
      <c r="U319" s="327" t="str">
        <f t="shared" si="22"/>
        <v/>
      </c>
      <c r="V319" s="325"/>
      <c r="W319" s="320"/>
      <c r="X319" s="334"/>
      <c r="AB319" s="370">
        <v>317</v>
      </c>
      <c r="AC319" s="371">
        <f t="shared" si="39"/>
        <v>0</v>
      </c>
      <c r="AD319" s="371">
        <f t="shared" si="40"/>
        <v>0</v>
      </c>
      <c r="AE319" s="371">
        <f t="shared" si="41"/>
        <v>0</v>
      </c>
      <c r="AF319" s="371">
        <f t="shared" si="42"/>
        <v>0</v>
      </c>
      <c r="AG319" s="125" t="e">
        <f t="shared" si="43"/>
        <v>#N/A</v>
      </c>
    </row>
    <row r="320" spans="1:33" ht="15" customHeight="1" x14ac:dyDescent="0.35">
      <c r="A320" s="185">
        <v>318</v>
      </c>
      <c r="B320" s="172"/>
      <c r="C320" s="193"/>
      <c r="D320" s="324"/>
      <c r="E320" s="332" t="str">
        <f t="shared" si="38"/>
        <v/>
      </c>
      <c r="F320" s="170"/>
      <c r="G320" s="137"/>
      <c r="H320" s="339" t="str">
        <f t="shared" si="20"/>
        <v/>
      </c>
      <c r="I320" s="393"/>
      <c r="J320" s="169"/>
      <c r="K320" s="328"/>
      <c r="L320" s="330" t="str">
        <f t="shared" si="21"/>
        <v/>
      </c>
      <c r="M320" s="33"/>
      <c r="N320" s="168"/>
      <c r="O320" s="172"/>
      <c r="P320" s="183"/>
      <c r="Q320" s="183"/>
      <c r="R320" s="202"/>
      <c r="S320" s="34"/>
      <c r="T320" s="324"/>
      <c r="U320" s="327" t="str">
        <f t="shared" si="22"/>
        <v/>
      </c>
      <c r="V320" s="325"/>
      <c r="W320" s="320"/>
      <c r="X320" s="334"/>
      <c r="AB320" s="370">
        <v>318</v>
      </c>
      <c r="AC320" s="371">
        <f t="shared" si="39"/>
        <v>0</v>
      </c>
      <c r="AD320" s="371">
        <f t="shared" si="40"/>
        <v>0</v>
      </c>
      <c r="AE320" s="371">
        <f t="shared" si="41"/>
        <v>0</v>
      </c>
      <c r="AF320" s="371">
        <f t="shared" si="42"/>
        <v>0</v>
      </c>
      <c r="AG320" s="125" t="e">
        <f t="shared" si="43"/>
        <v>#N/A</v>
      </c>
    </row>
    <row r="321" spans="1:33" ht="15" customHeight="1" x14ac:dyDescent="0.35">
      <c r="A321" s="185">
        <v>319</v>
      </c>
      <c r="B321" s="172"/>
      <c r="C321" s="193"/>
      <c r="D321" s="324"/>
      <c r="E321" s="332" t="str">
        <f t="shared" si="38"/>
        <v/>
      </c>
      <c r="F321" s="170"/>
      <c r="G321" s="137"/>
      <c r="H321" s="339" t="str">
        <f t="shared" si="20"/>
        <v/>
      </c>
      <c r="I321" s="393"/>
      <c r="J321" s="169"/>
      <c r="K321" s="328"/>
      <c r="L321" s="330" t="str">
        <f t="shared" si="21"/>
        <v/>
      </c>
      <c r="M321" s="33"/>
      <c r="N321" s="168"/>
      <c r="O321" s="172"/>
      <c r="P321" s="183"/>
      <c r="Q321" s="183"/>
      <c r="R321" s="202"/>
      <c r="S321" s="34"/>
      <c r="T321" s="324"/>
      <c r="U321" s="327" t="str">
        <f t="shared" si="22"/>
        <v/>
      </c>
      <c r="V321" s="325"/>
      <c r="W321" s="320"/>
      <c r="X321" s="334"/>
      <c r="AB321" s="370">
        <v>319</v>
      </c>
      <c r="AC321" s="371">
        <f t="shared" si="39"/>
        <v>0</v>
      </c>
      <c r="AD321" s="371">
        <f t="shared" si="40"/>
        <v>0</v>
      </c>
      <c r="AE321" s="371">
        <f t="shared" si="41"/>
        <v>0</v>
      </c>
      <c r="AF321" s="371">
        <f t="shared" si="42"/>
        <v>0</v>
      </c>
      <c r="AG321" s="125" t="e">
        <f t="shared" si="43"/>
        <v>#N/A</v>
      </c>
    </row>
    <row r="322" spans="1:33" ht="15" customHeight="1" x14ac:dyDescent="0.35">
      <c r="A322" s="185">
        <v>320</v>
      </c>
      <c r="B322" s="172"/>
      <c r="C322" s="193"/>
      <c r="D322" s="324"/>
      <c r="E322" s="332" t="str">
        <f t="shared" si="38"/>
        <v/>
      </c>
      <c r="F322" s="170"/>
      <c r="G322" s="137"/>
      <c r="H322" s="339" t="str">
        <f t="shared" ref="H322:H352" si="44">IF(AND(F322="Male",G322="Male"),"Male",IF(AND(F322="Female",G322="Female"),"Female",IF(AND(F322="Female",G322="Male"),"Transgender Male",IF(AND(F322="Male",G322="Female"),"Transgender Female",IF(G322="Sometimes M, Sometimes F","Gender Fluid",IF(G322="Other than M or F","Agender",""))))))</f>
        <v/>
      </c>
      <c r="I322" s="393"/>
      <c r="J322" s="169"/>
      <c r="K322" s="328"/>
      <c r="L322" s="330" t="str">
        <f t="shared" ref="L322:L352" si="45">IF(AND(J322&lt;&gt;"",K322=""),J322,IF(AND(J322="White or Caucasian",K322&lt;&gt;"White or Caucasian"),"Blended Race",IF(AND(J322="Black or African-American",K322&lt;&gt;"Black or African-American"),"Blended Race",IF(AND(J322="American Indian or Alaska Native",K322&lt;&gt;"American Indian or Alaska Native"),"Blended Race",IF(AND(J322="Asian",K322&lt;&gt;"Asian"),"Blended Race",IF(AND(J322="Pacific Islander",K322&lt;&gt;"Pacific Islander"),"Blended Race",IF(J322="Other","Other","")))))))</f>
        <v/>
      </c>
      <c r="M322" s="33"/>
      <c r="N322" s="168"/>
      <c r="O322" s="172"/>
      <c r="P322" s="183"/>
      <c r="Q322" s="183"/>
      <c r="R322" s="202"/>
      <c r="S322" s="34"/>
      <c r="T322" s="324"/>
      <c r="U322" s="327" t="str">
        <f t="shared" si="22"/>
        <v/>
      </c>
      <c r="V322" s="325"/>
      <c r="W322" s="320"/>
      <c r="X322" s="334"/>
      <c r="AB322" s="370">
        <v>320</v>
      </c>
      <c r="AC322" s="371">
        <f t="shared" si="39"/>
        <v>0</v>
      </c>
      <c r="AD322" s="371">
        <f t="shared" si="40"/>
        <v>0</v>
      </c>
      <c r="AE322" s="371">
        <f t="shared" si="41"/>
        <v>0</v>
      </c>
      <c r="AF322" s="371">
        <f t="shared" si="42"/>
        <v>0</v>
      </c>
      <c r="AG322" s="125" t="e">
        <f t="shared" si="43"/>
        <v>#N/A</v>
      </c>
    </row>
    <row r="323" spans="1:33" ht="15" customHeight="1" x14ac:dyDescent="0.35">
      <c r="A323" s="185">
        <v>321</v>
      </c>
      <c r="B323" s="172"/>
      <c r="C323" s="193"/>
      <c r="D323" s="324"/>
      <c r="E323" s="332" t="str">
        <f t="shared" si="38"/>
        <v/>
      </c>
      <c r="F323" s="170"/>
      <c r="G323" s="137"/>
      <c r="H323" s="339" t="str">
        <f t="shared" si="44"/>
        <v/>
      </c>
      <c r="I323" s="393"/>
      <c r="J323" s="169"/>
      <c r="K323" s="328"/>
      <c r="L323" s="330" t="str">
        <f t="shared" si="45"/>
        <v/>
      </c>
      <c r="M323" s="33"/>
      <c r="N323" s="168"/>
      <c r="O323" s="172"/>
      <c r="P323" s="183"/>
      <c r="Q323" s="183"/>
      <c r="R323" s="202"/>
      <c r="S323" s="34"/>
      <c r="T323" s="324"/>
      <c r="U323" s="327" t="str">
        <f t="shared" ref="U323:U352" si="46">IF(OR(R323="",T323=""),"",DATEDIF(R323,T323,"d"))</f>
        <v/>
      </c>
      <c r="V323" s="325"/>
      <c r="W323" s="320"/>
      <c r="X323" s="334"/>
      <c r="AB323" s="370">
        <v>321</v>
      </c>
      <c r="AC323" s="371">
        <f t="shared" si="39"/>
        <v>0</v>
      </c>
      <c r="AD323" s="371">
        <f t="shared" si="40"/>
        <v>0</v>
      </c>
      <c r="AE323" s="371">
        <f t="shared" si="41"/>
        <v>0</v>
      </c>
      <c r="AF323" s="371">
        <f t="shared" si="42"/>
        <v>0</v>
      </c>
      <c r="AG323" s="125" t="e">
        <f t="shared" si="43"/>
        <v>#N/A</v>
      </c>
    </row>
    <row r="324" spans="1:33" ht="15" customHeight="1" x14ac:dyDescent="0.35">
      <c r="A324" s="185">
        <v>322</v>
      </c>
      <c r="B324" s="172"/>
      <c r="C324" s="193"/>
      <c r="D324" s="324"/>
      <c r="E324" s="332" t="str">
        <f t="shared" si="38"/>
        <v/>
      </c>
      <c r="F324" s="170"/>
      <c r="G324" s="137"/>
      <c r="H324" s="339" t="str">
        <f t="shared" si="44"/>
        <v/>
      </c>
      <c r="I324" s="393"/>
      <c r="J324" s="169"/>
      <c r="K324" s="328"/>
      <c r="L324" s="330" t="str">
        <f t="shared" si="45"/>
        <v/>
      </c>
      <c r="M324" s="33"/>
      <c r="N324" s="168"/>
      <c r="O324" s="172"/>
      <c r="P324" s="183"/>
      <c r="Q324" s="183"/>
      <c r="R324" s="202"/>
      <c r="S324" s="34"/>
      <c r="T324" s="324"/>
      <c r="U324" s="327" t="str">
        <f t="shared" si="46"/>
        <v/>
      </c>
      <c r="V324" s="325"/>
      <c r="W324" s="320"/>
      <c r="X324" s="334"/>
      <c r="AB324" s="370">
        <v>322</v>
      </c>
      <c r="AC324" s="371">
        <f t="shared" si="39"/>
        <v>0</v>
      </c>
      <c r="AD324" s="371">
        <f t="shared" si="40"/>
        <v>0</v>
      </c>
      <c r="AE324" s="371">
        <f t="shared" si="41"/>
        <v>0</v>
      </c>
      <c r="AF324" s="371">
        <f t="shared" si="42"/>
        <v>0</v>
      </c>
      <c r="AG324" s="125" t="e">
        <f t="shared" si="43"/>
        <v>#N/A</v>
      </c>
    </row>
    <row r="325" spans="1:33" ht="15" customHeight="1" x14ac:dyDescent="0.35">
      <c r="A325" s="185">
        <v>323</v>
      </c>
      <c r="B325" s="172"/>
      <c r="C325" s="193"/>
      <c r="D325" s="324"/>
      <c r="E325" s="332" t="str">
        <f t="shared" si="38"/>
        <v/>
      </c>
      <c r="F325" s="170"/>
      <c r="G325" s="137"/>
      <c r="H325" s="339" t="str">
        <f t="shared" si="44"/>
        <v/>
      </c>
      <c r="I325" s="393"/>
      <c r="J325" s="169"/>
      <c r="K325" s="328"/>
      <c r="L325" s="330" t="str">
        <f t="shared" si="45"/>
        <v/>
      </c>
      <c r="M325" s="33"/>
      <c r="N325" s="168"/>
      <c r="O325" s="172"/>
      <c r="P325" s="183"/>
      <c r="Q325" s="183"/>
      <c r="R325" s="202"/>
      <c r="S325" s="34"/>
      <c r="T325" s="324"/>
      <c r="U325" s="327" t="str">
        <f t="shared" si="46"/>
        <v/>
      </c>
      <c r="V325" s="325"/>
      <c r="W325" s="320"/>
      <c r="X325" s="334"/>
      <c r="AB325" s="370">
        <v>323</v>
      </c>
      <c r="AC325" s="371">
        <f t="shared" si="39"/>
        <v>0</v>
      </c>
      <c r="AD325" s="371">
        <f t="shared" si="40"/>
        <v>0</v>
      </c>
      <c r="AE325" s="371">
        <f t="shared" si="41"/>
        <v>0</v>
      </c>
      <c r="AF325" s="371">
        <f t="shared" si="42"/>
        <v>0</v>
      </c>
      <c r="AG325" s="125" t="e">
        <f t="shared" si="43"/>
        <v>#N/A</v>
      </c>
    </row>
    <row r="326" spans="1:33" ht="15" customHeight="1" x14ac:dyDescent="0.35">
      <c r="A326" s="185">
        <v>324</v>
      </c>
      <c r="B326" s="172"/>
      <c r="C326" s="193"/>
      <c r="D326" s="324"/>
      <c r="E326" s="332" t="str">
        <f t="shared" si="38"/>
        <v/>
      </c>
      <c r="F326" s="170"/>
      <c r="G326" s="137"/>
      <c r="H326" s="339" t="str">
        <f t="shared" si="44"/>
        <v/>
      </c>
      <c r="I326" s="393"/>
      <c r="J326" s="169"/>
      <c r="K326" s="328"/>
      <c r="L326" s="330" t="str">
        <f t="shared" si="45"/>
        <v/>
      </c>
      <c r="M326" s="33"/>
      <c r="N326" s="168"/>
      <c r="O326" s="172"/>
      <c r="P326" s="183"/>
      <c r="Q326" s="183"/>
      <c r="R326" s="202"/>
      <c r="S326" s="34"/>
      <c r="T326" s="324"/>
      <c r="U326" s="327" t="str">
        <f t="shared" si="46"/>
        <v/>
      </c>
      <c r="V326" s="325"/>
      <c r="W326" s="320"/>
      <c r="X326" s="334"/>
      <c r="AB326" s="370">
        <v>324</v>
      </c>
      <c r="AC326" s="371">
        <f t="shared" si="39"/>
        <v>0</v>
      </c>
      <c r="AD326" s="371">
        <f t="shared" si="40"/>
        <v>0</v>
      </c>
      <c r="AE326" s="371">
        <f t="shared" si="41"/>
        <v>0</v>
      </c>
      <c r="AF326" s="371">
        <f t="shared" si="42"/>
        <v>0</v>
      </c>
      <c r="AG326" s="125" t="e">
        <f t="shared" si="43"/>
        <v>#N/A</v>
      </c>
    </row>
    <row r="327" spans="1:33" ht="15" customHeight="1" x14ac:dyDescent="0.35">
      <c r="A327" s="185">
        <v>325</v>
      </c>
      <c r="B327" s="172"/>
      <c r="C327" s="193"/>
      <c r="D327" s="324"/>
      <c r="E327" s="332" t="str">
        <f t="shared" si="38"/>
        <v/>
      </c>
      <c r="F327" s="170"/>
      <c r="G327" s="137"/>
      <c r="H327" s="339" t="str">
        <f t="shared" si="44"/>
        <v/>
      </c>
      <c r="I327" s="393"/>
      <c r="J327" s="169"/>
      <c r="K327" s="328"/>
      <c r="L327" s="330" t="str">
        <f t="shared" si="45"/>
        <v/>
      </c>
      <c r="M327" s="33"/>
      <c r="N327" s="168"/>
      <c r="O327" s="172"/>
      <c r="P327" s="183"/>
      <c r="Q327" s="183"/>
      <c r="R327" s="202"/>
      <c r="S327" s="34"/>
      <c r="T327" s="324"/>
      <c r="U327" s="327" t="str">
        <f t="shared" si="46"/>
        <v/>
      </c>
      <c r="V327" s="325"/>
      <c r="W327" s="320"/>
      <c r="X327" s="334"/>
      <c r="AB327" s="370">
        <v>325</v>
      </c>
      <c r="AC327" s="371">
        <f t="shared" si="39"/>
        <v>0</v>
      </c>
      <c r="AD327" s="371">
        <f t="shared" si="40"/>
        <v>0</v>
      </c>
      <c r="AE327" s="371">
        <f t="shared" si="41"/>
        <v>0</v>
      </c>
      <c r="AF327" s="371">
        <f t="shared" si="42"/>
        <v>0</v>
      </c>
      <c r="AG327" s="125" t="e">
        <f t="shared" si="43"/>
        <v>#N/A</v>
      </c>
    </row>
    <row r="328" spans="1:33" ht="15" customHeight="1" x14ac:dyDescent="0.35">
      <c r="A328" s="185">
        <v>326</v>
      </c>
      <c r="B328" s="172"/>
      <c r="C328" s="193"/>
      <c r="D328" s="324"/>
      <c r="E328" s="332" t="str">
        <f t="shared" si="38"/>
        <v/>
      </c>
      <c r="F328" s="170"/>
      <c r="G328" s="137"/>
      <c r="H328" s="339" t="str">
        <f t="shared" si="44"/>
        <v/>
      </c>
      <c r="I328" s="393"/>
      <c r="J328" s="169"/>
      <c r="K328" s="328"/>
      <c r="L328" s="330" t="str">
        <f t="shared" si="45"/>
        <v/>
      </c>
      <c r="M328" s="33"/>
      <c r="N328" s="168"/>
      <c r="O328" s="172"/>
      <c r="P328" s="183"/>
      <c r="Q328" s="183"/>
      <c r="R328" s="202"/>
      <c r="S328" s="34"/>
      <c r="T328" s="324"/>
      <c r="U328" s="327" t="str">
        <f t="shared" si="46"/>
        <v/>
      </c>
      <c r="V328" s="325"/>
      <c r="W328" s="320"/>
      <c r="X328" s="334"/>
      <c r="AB328" s="370">
        <v>326</v>
      </c>
      <c r="AC328" s="371">
        <f t="shared" si="39"/>
        <v>0</v>
      </c>
      <c r="AD328" s="371">
        <f t="shared" si="40"/>
        <v>0</v>
      </c>
      <c r="AE328" s="371">
        <f t="shared" si="41"/>
        <v>0</v>
      </c>
      <c r="AF328" s="371">
        <f t="shared" si="42"/>
        <v>0</v>
      </c>
      <c r="AG328" s="125" t="e">
        <f t="shared" si="43"/>
        <v>#N/A</v>
      </c>
    </row>
    <row r="329" spans="1:33" ht="15" customHeight="1" x14ac:dyDescent="0.35">
      <c r="A329" s="185">
        <v>327</v>
      </c>
      <c r="B329" s="172"/>
      <c r="C329" s="193"/>
      <c r="D329" s="324"/>
      <c r="E329" s="332" t="str">
        <f t="shared" si="38"/>
        <v/>
      </c>
      <c r="F329" s="170"/>
      <c r="G329" s="137"/>
      <c r="H329" s="339" t="str">
        <f t="shared" si="44"/>
        <v/>
      </c>
      <c r="I329" s="393"/>
      <c r="J329" s="169"/>
      <c r="K329" s="328"/>
      <c r="L329" s="330" t="str">
        <f t="shared" si="45"/>
        <v/>
      </c>
      <c r="M329" s="33"/>
      <c r="N329" s="168"/>
      <c r="O329" s="172"/>
      <c r="P329" s="183"/>
      <c r="Q329" s="183"/>
      <c r="R329" s="202"/>
      <c r="S329" s="34"/>
      <c r="T329" s="324"/>
      <c r="U329" s="327" t="str">
        <f t="shared" si="46"/>
        <v/>
      </c>
      <c r="V329" s="325"/>
      <c r="W329" s="320"/>
      <c r="X329" s="334"/>
      <c r="AB329" s="370">
        <v>327</v>
      </c>
      <c r="AC329" s="371">
        <f t="shared" si="39"/>
        <v>0</v>
      </c>
      <c r="AD329" s="371">
        <f t="shared" si="40"/>
        <v>0</v>
      </c>
      <c r="AE329" s="371">
        <f t="shared" si="41"/>
        <v>0</v>
      </c>
      <c r="AF329" s="371">
        <f t="shared" si="42"/>
        <v>0</v>
      </c>
      <c r="AG329" s="125" t="e">
        <f t="shared" si="43"/>
        <v>#N/A</v>
      </c>
    </row>
    <row r="330" spans="1:33" ht="15" customHeight="1" x14ac:dyDescent="0.35">
      <c r="A330" s="185">
        <v>328</v>
      </c>
      <c r="B330" s="172"/>
      <c r="C330" s="193"/>
      <c r="D330" s="324"/>
      <c r="E330" s="332" t="str">
        <f t="shared" si="38"/>
        <v/>
      </c>
      <c r="F330" s="170"/>
      <c r="G330" s="137"/>
      <c r="H330" s="339" t="str">
        <f t="shared" si="44"/>
        <v/>
      </c>
      <c r="I330" s="393"/>
      <c r="J330" s="169"/>
      <c r="K330" s="328"/>
      <c r="L330" s="330" t="str">
        <f t="shared" si="45"/>
        <v/>
      </c>
      <c r="M330" s="33"/>
      <c r="N330" s="168"/>
      <c r="O330" s="172"/>
      <c r="P330" s="183"/>
      <c r="Q330" s="183"/>
      <c r="R330" s="202"/>
      <c r="S330" s="34"/>
      <c r="T330" s="324"/>
      <c r="U330" s="327" t="str">
        <f t="shared" si="46"/>
        <v/>
      </c>
      <c r="V330" s="325"/>
      <c r="W330" s="320"/>
      <c r="X330" s="334"/>
      <c r="AB330" s="370">
        <v>328</v>
      </c>
      <c r="AC330" s="371">
        <f t="shared" si="39"/>
        <v>0</v>
      </c>
      <c r="AD330" s="371">
        <f t="shared" si="40"/>
        <v>0</v>
      </c>
      <c r="AE330" s="371">
        <f t="shared" si="41"/>
        <v>0</v>
      </c>
      <c r="AF330" s="371">
        <f t="shared" si="42"/>
        <v>0</v>
      </c>
      <c r="AG330" s="125" t="e">
        <f t="shared" si="43"/>
        <v>#N/A</v>
      </c>
    </row>
    <row r="331" spans="1:33" ht="15" customHeight="1" x14ac:dyDescent="0.35">
      <c r="A331" s="185">
        <v>329</v>
      </c>
      <c r="B331" s="172"/>
      <c r="C331" s="193"/>
      <c r="D331" s="324"/>
      <c r="E331" s="332" t="str">
        <f t="shared" si="38"/>
        <v/>
      </c>
      <c r="F331" s="170"/>
      <c r="G331" s="137"/>
      <c r="H331" s="339" t="str">
        <f t="shared" si="44"/>
        <v/>
      </c>
      <c r="I331" s="393"/>
      <c r="J331" s="169"/>
      <c r="K331" s="328"/>
      <c r="L331" s="330" t="str">
        <f t="shared" si="45"/>
        <v/>
      </c>
      <c r="M331" s="33"/>
      <c r="N331" s="168"/>
      <c r="O331" s="172"/>
      <c r="P331" s="183"/>
      <c r="Q331" s="183"/>
      <c r="R331" s="202"/>
      <c r="S331" s="34"/>
      <c r="T331" s="324"/>
      <c r="U331" s="327" t="str">
        <f t="shared" si="46"/>
        <v/>
      </c>
      <c r="V331" s="325"/>
      <c r="W331" s="320"/>
      <c r="X331" s="334"/>
      <c r="AB331" s="370">
        <v>329</v>
      </c>
      <c r="AC331" s="371">
        <f t="shared" si="39"/>
        <v>0</v>
      </c>
      <c r="AD331" s="371">
        <f t="shared" si="40"/>
        <v>0</v>
      </c>
      <c r="AE331" s="371">
        <f t="shared" si="41"/>
        <v>0</v>
      </c>
      <c r="AF331" s="371">
        <f t="shared" si="42"/>
        <v>0</v>
      </c>
      <c r="AG331" s="125" t="e">
        <f t="shared" si="43"/>
        <v>#N/A</v>
      </c>
    </row>
    <row r="332" spans="1:33" ht="15" customHeight="1" x14ac:dyDescent="0.35">
      <c r="A332" s="185">
        <v>330</v>
      </c>
      <c r="B332" s="172"/>
      <c r="C332" s="193"/>
      <c r="D332" s="324"/>
      <c r="E332" s="332" t="str">
        <f t="shared" si="38"/>
        <v/>
      </c>
      <c r="F332" s="170"/>
      <c r="G332" s="137"/>
      <c r="H332" s="339" t="str">
        <f t="shared" si="44"/>
        <v/>
      </c>
      <c r="I332" s="393"/>
      <c r="J332" s="169"/>
      <c r="K332" s="328"/>
      <c r="L332" s="330" t="str">
        <f t="shared" si="45"/>
        <v/>
      </c>
      <c r="M332" s="33"/>
      <c r="N332" s="168"/>
      <c r="O332" s="172"/>
      <c r="P332" s="183"/>
      <c r="Q332" s="183"/>
      <c r="R332" s="202"/>
      <c r="S332" s="34"/>
      <c r="T332" s="324"/>
      <c r="U332" s="327" t="str">
        <f t="shared" si="46"/>
        <v/>
      </c>
      <c r="V332" s="325"/>
      <c r="W332" s="320"/>
      <c r="X332" s="334"/>
      <c r="AB332" s="370">
        <v>330</v>
      </c>
      <c r="AC332" s="371">
        <f t="shared" si="39"/>
        <v>0</v>
      </c>
      <c r="AD332" s="371">
        <f t="shared" si="40"/>
        <v>0</v>
      </c>
      <c r="AE332" s="371">
        <f t="shared" si="41"/>
        <v>0</v>
      </c>
      <c r="AF332" s="371">
        <f t="shared" si="42"/>
        <v>0</v>
      </c>
      <c r="AG332" s="125" t="e">
        <f t="shared" si="43"/>
        <v>#N/A</v>
      </c>
    </row>
    <row r="333" spans="1:33" ht="15" customHeight="1" x14ac:dyDescent="0.35">
      <c r="A333" s="185">
        <v>331</v>
      </c>
      <c r="B333" s="172"/>
      <c r="C333" s="193"/>
      <c r="D333" s="324"/>
      <c r="E333" s="332" t="str">
        <f t="shared" si="38"/>
        <v/>
      </c>
      <c r="F333" s="170"/>
      <c r="G333" s="137"/>
      <c r="H333" s="339" t="str">
        <f t="shared" si="44"/>
        <v/>
      </c>
      <c r="I333" s="393"/>
      <c r="J333" s="169"/>
      <c r="K333" s="328"/>
      <c r="L333" s="330" t="str">
        <f t="shared" si="45"/>
        <v/>
      </c>
      <c r="M333" s="33"/>
      <c r="N333" s="168"/>
      <c r="O333" s="172"/>
      <c r="P333" s="183"/>
      <c r="Q333" s="183"/>
      <c r="R333" s="202"/>
      <c r="S333" s="34"/>
      <c r="T333" s="324"/>
      <c r="U333" s="327" t="str">
        <f t="shared" si="46"/>
        <v/>
      </c>
      <c r="V333" s="325"/>
      <c r="W333" s="320"/>
      <c r="X333" s="334"/>
      <c r="AB333" s="370">
        <v>331</v>
      </c>
      <c r="AC333" s="371">
        <f t="shared" si="39"/>
        <v>0</v>
      </c>
      <c r="AD333" s="371">
        <f t="shared" si="40"/>
        <v>0</v>
      </c>
      <c r="AE333" s="371">
        <f t="shared" si="41"/>
        <v>0</v>
      </c>
      <c r="AF333" s="371">
        <f t="shared" si="42"/>
        <v>0</v>
      </c>
      <c r="AG333" s="125" t="e">
        <f t="shared" si="43"/>
        <v>#N/A</v>
      </c>
    </row>
    <row r="334" spans="1:33" ht="15" customHeight="1" x14ac:dyDescent="0.35">
      <c r="A334" s="185">
        <v>332</v>
      </c>
      <c r="B334" s="172"/>
      <c r="C334" s="193"/>
      <c r="D334" s="324"/>
      <c r="E334" s="332" t="str">
        <f t="shared" si="38"/>
        <v/>
      </c>
      <c r="F334" s="170"/>
      <c r="G334" s="137"/>
      <c r="H334" s="339" t="str">
        <f t="shared" si="44"/>
        <v/>
      </c>
      <c r="I334" s="393"/>
      <c r="J334" s="169"/>
      <c r="K334" s="328"/>
      <c r="L334" s="330" t="str">
        <f t="shared" si="45"/>
        <v/>
      </c>
      <c r="M334" s="33"/>
      <c r="N334" s="168"/>
      <c r="O334" s="172"/>
      <c r="P334" s="183"/>
      <c r="Q334" s="183"/>
      <c r="R334" s="202"/>
      <c r="S334" s="34"/>
      <c r="T334" s="324"/>
      <c r="U334" s="327" t="str">
        <f t="shared" si="46"/>
        <v/>
      </c>
      <c r="V334" s="325"/>
      <c r="W334" s="320"/>
      <c r="X334" s="334"/>
      <c r="AB334" s="370">
        <v>332</v>
      </c>
      <c r="AC334" s="371">
        <f t="shared" si="39"/>
        <v>0</v>
      </c>
      <c r="AD334" s="371">
        <f t="shared" si="40"/>
        <v>0</v>
      </c>
      <c r="AE334" s="371">
        <f t="shared" si="41"/>
        <v>0</v>
      </c>
      <c r="AF334" s="371">
        <f t="shared" si="42"/>
        <v>0</v>
      </c>
      <c r="AG334" s="125" t="e">
        <f t="shared" si="43"/>
        <v>#N/A</v>
      </c>
    </row>
    <row r="335" spans="1:33" ht="15" customHeight="1" x14ac:dyDescent="0.35">
      <c r="A335" s="185">
        <v>333</v>
      </c>
      <c r="B335" s="172"/>
      <c r="C335" s="193"/>
      <c r="D335" s="324"/>
      <c r="E335" s="332" t="str">
        <f t="shared" si="38"/>
        <v/>
      </c>
      <c r="F335" s="170"/>
      <c r="G335" s="137"/>
      <c r="H335" s="339" t="str">
        <f t="shared" si="44"/>
        <v/>
      </c>
      <c r="I335" s="393"/>
      <c r="J335" s="169"/>
      <c r="K335" s="328"/>
      <c r="L335" s="330" t="str">
        <f t="shared" si="45"/>
        <v/>
      </c>
      <c r="M335" s="33"/>
      <c r="N335" s="168"/>
      <c r="O335" s="172"/>
      <c r="P335" s="183"/>
      <c r="Q335" s="183"/>
      <c r="R335" s="202"/>
      <c r="S335" s="34"/>
      <c r="T335" s="324"/>
      <c r="U335" s="327" t="str">
        <f t="shared" si="46"/>
        <v/>
      </c>
      <c r="V335" s="325"/>
      <c r="W335" s="320"/>
      <c r="X335" s="334"/>
      <c r="AB335" s="370">
        <v>333</v>
      </c>
      <c r="AC335" s="371">
        <f t="shared" si="39"/>
        <v>0</v>
      </c>
      <c r="AD335" s="371">
        <f t="shared" si="40"/>
        <v>0</v>
      </c>
      <c r="AE335" s="371">
        <f t="shared" si="41"/>
        <v>0</v>
      </c>
      <c r="AF335" s="371">
        <f t="shared" si="42"/>
        <v>0</v>
      </c>
      <c r="AG335" s="125" t="e">
        <f t="shared" si="43"/>
        <v>#N/A</v>
      </c>
    </row>
    <row r="336" spans="1:33" ht="15" customHeight="1" x14ac:dyDescent="0.35">
      <c r="A336" s="185">
        <v>334</v>
      </c>
      <c r="B336" s="172"/>
      <c r="C336" s="193"/>
      <c r="D336" s="324"/>
      <c r="E336" s="332" t="str">
        <f t="shared" si="38"/>
        <v/>
      </c>
      <c r="F336" s="170"/>
      <c r="G336" s="137"/>
      <c r="H336" s="339" t="str">
        <f t="shared" si="44"/>
        <v/>
      </c>
      <c r="I336" s="393"/>
      <c r="J336" s="169"/>
      <c r="K336" s="328"/>
      <c r="L336" s="330" t="str">
        <f t="shared" si="45"/>
        <v/>
      </c>
      <c r="M336" s="33"/>
      <c r="N336" s="168"/>
      <c r="O336" s="172"/>
      <c r="P336" s="183"/>
      <c r="Q336" s="183"/>
      <c r="R336" s="202"/>
      <c r="S336" s="34"/>
      <c r="T336" s="324"/>
      <c r="U336" s="327" t="str">
        <f t="shared" si="46"/>
        <v/>
      </c>
      <c r="V336" s="325"/>
      <c r="W336" s="320"/>
      <c r="X336" s="334"/>
      <c r="AB336" s="370">
        <v>334</v>
      </c>
      <c r="AC336" s="371">
        <f t="shared" si="39"/>
        <v>0</v>
      </c>
      <c r="AD336" s="371">
        <f t="shared" si="40"/>
        <v>0</v>
      </c>
      <c r="AE336" s="371">
        <f t="shared" si="41"/>
        <v>0</v>
      </c>
      <c r="AF336" s="371">
        <f t="shared" si="42"/>
        <v>0</v>
      </c>
      <c r="AG336" s="125" t="e">
        <f t="shared" si="43"/>
        <v>#N/A</v>
      </c>
    </row>
    <row r="337" spans="1:33" ht="15" customHeight="1" x14ac:dyDescent="0.35">
      <c r="A337" s="185">
        <v>335</v>
      </c>
      <c r="B337" s="172"/>
      <c r="C337" s="193"/>
      <c r="D337" s="324"/>
      <c r="E337" s="332" t="str">
        <f t="shared" si="38"/>
        <v/>
      </c>
      <c r="F337" s="170"/>
      <c r="G337" s="137"/>
      <c r="H337" s="339" t="str">
        <f t="shared" si="44"/>
        <v/>
      </c>
      <c r="I337" s="393"/>
      <c r="J337" s="169"/>
      <c r="K337" s="328"/>
      <c r="L337" s="330" t="str">
        <f t="shared" si="45"/>
        <v/>
      </c>
      <c r="M337" s="33"/>
      <c r="N337" s="168"/>
      <c r="O337" s="172"/>
      <c r="P337" s="183"/>
      <c r="Q337" s="183"/>
      <c r="R337" s="202"/>
      <c r="S337" s="34"/>
      <c r="T337" s="324"/>
      <c r="U337" s="327" t="str">
        <f t="shared" si="46"/>
        <v/>
      </c>
      <c r="V337" s="325"/>
      <c r="W337" s="320"/>
      <c r="X337" s="334"/>
      <c r="AB337" s="370">
        <v>335</v>
      </c>
      <c r="AC337" s="371">
        <f t="shared" si="39"/>
        <v>0</v>
      </c>
      <c r="AD337" s="371">
        <f t="shared" si="40"/>
        <v>0</v>
      </c>
      <c r="AE337" s="371">
        <f t="shared" si="41"/>
        <v>0</v>
      </c>
      <c r="AF337" s="371">
        <f t="shared" si="42"/>
        <v>0</v>
      </c>
      <c r="AG337" s="125" t="e">
        <f t="shared" si="43"/>
        <v>#N/A</v>
      </c>
    </row>
    <row r="338" spans="1:33" ht="15" customHeight="1" x14ac:dyDescent="0.35">
      <c r="A338" s="185">
        <v>336</v>
      </c>
      <c r="B338" s="172"/>
      <c r="C338" s="193"/>
      <c r="D338" s="324"/>
      <c r="E338" s="332" t="str">
        <f t="shared" si="38"/>
        <v/>
      </c>
      <c r="F338" s="170"/>
      <c r="G338" s="137"/>
      <c r="H338" s="339" t="str">
        <f t="shared" si="44"/>
        <v/>
      </c>
      <c r="I338" s="393"/>
      <c r="J338" s="169"/>
      <c r="K338" s="328"/>
      <c r="L338" s="330" t="str">
        <f t="shared" si="45"/>
        <v/>
      </c>
      <c r="M338" s="33"/>
      <c r="N338" s="168"/>
      <c r="O338" s="172"/>
      <c r="P338" s="183"/>
      <c r="Q338" s="183"/>
      <c r="R338" s="202"/>
      <c r="S338" s="34"/>
      <c r="T338" s="324"/>
      <c r="U338" s="327" t="str">
        <f t="shared" si="46"/>
        <v/>
      </c>
      <c r="V338" s="325"/>
      <c r="W338" s="320"/>
      <c r="X338" s="334"/>
      <c r="AB338" s="370">
        <v>336</v>
      </c>
      <c r="AC338" s="371">
        <f t="shared" si="39"/>
        <v>0</v>
      </c>
      <c r="AD338" s="371">
        <f t="shared" si="40"/>
        <v>0</v>
      </c>
      <c r="AE338" s="371">
        <f t="shared" si="41"/>
        <v>0</v>
      </c>
      <c r="AF338" s="371">
        <f t="shared" si="42"/>
        <v>0</v>
      </c>
      <c r="AG338" s="125" t="e">
        <f t="shared" si="43"/>
        <v>#N/A</v>
      </c>
    </row>
    <row r="339" spans="1:33" ht="15" customHeight="1" x14ac:dyDescent="0.35">
      <c r="A339" s="185">
        <v>337</v>
      </c>
      <c r="B339" s="172"/>
      <c r="C339" s="193"/>
      <c r="D339" s="324"/>
      <c r="E339" s="332" t="str">
        <f t="shared" si="38"/>
        <v/>
      </c>
      <c r="F339" s="170"/>
      <c r="G339" s="137"/>
      <c r="H339" s="339" t="str">
        <f t="shared" si="44"/>
        <v/>
      </c>
      <c r="I339" s="393"/>
      <c r="J339" s="169"/>
      <c r="K339" s="328"/>
      <c r="L339" s="330" t="str">
        <f t="shared" si="45"/>
        <v/>
      </c>
      <c r="M339" s="33"/>
      <c r="N339" s="168"/>
      <c r="O339" s="172"/>
      <c r="P339" s="183"/>
      <c r="Q339" s="183"/>
      <c r="R339" s="202"/>
      <c r="S339" s="34"/>
      <c r="T339" s="324"/>
      <c r="U339" s="327" t="str">
        <f t="shared" si="46"/>
        <v/>
      </c>
      <c r="V339" s="325"/>
      <c r="W339" s="320"/>
      <c r="X339" s="334"/>
      <c r="AB339" s="370">
        <v>337</v>
      </c>
      <c r="AC339" s="371">
        <f t="shared" si="39"/>
        <v>0</v>
      </c>
      <c r="AD339" s="371">
        <f t="shared" si="40"/>
        <v>0</v>
      </c>
      <c r="AE339" s="371">
        <f t="shared" si="41"/>
        <v>0</v>
      </c>
      <c r="AF339" s="371">
        <f t="shared" si="42"/>
        <v>0</v>
      </c>
      <c r="AG339" s="125" t="e">
        <f t="shared" si="43"/>
        <v>#N/A</v>
      </c>
    </row>
    <row r="340" spans="1:33" ht="15" customHeight="1" x14ac:dyDescent="0.35">
      <c r="A340" s="185">
        <v>338</v>
      </c>
      <c r="B340" s="172"/>
      <c r="C340" s="193"/>
      <c r="D340" s="324"/>
      <c r="E340" s="332" t="str">
        <f t="shared" si="38"/>
        <v/>
      </c>
      <c r="F340" s="170"/>
      <c r="G340" s="137"/>
      <c r="H340" s="339" t="str">
        <f t="shared" si="44"/>
        <v/>
      </c>
      <c r="I340" s="393"/>
      <c r="J340" s="169"/>
      <c r="K340" s="328"/>
      <c r="L340" s="330" t="str">
        <f t="shared" si="45"/>
        <v/>
      </c>
      <c r="M340" s="33"/>
      <c r="N340" s="168"/>
      <c r="O340" s="172"/>
      <c r="P340" s="183"/>
      <c r="Q340" s="183"/>
      <c r="R340" s="202"/>
      <c r="S340" s="34"/>
      <c r="T340" s="324"/>
      <c r="U340" s="327" t="str">
        <f t="shared" si="46"/>
        <v/>
      </c>
      <c r="V340" s="325"/>
      <c r="W340" s="320"/>
      <c r="X340" s="334"/>
      <c r="AB340" s="370">
        <v>338</v>
      </c>
      <c r="AC340" s="371">
        <f t="shared" si="39"/>
        <v>0</v>
      </c>
      <c r="AD340" s="371">
        <f t="shared" si="40"/>
        <v>0</v>
      </c>
      <c r="AE340" s="371">
        <f t="shared" si="41"/>
        <v>0</v>
      </c>
      <c r="AF340" s="371">
        <f t="shared" si="42"/>
        <v>0</v>
      </c>
      <c r="AG340" s="125" t="e">
        <f t="shared" si="43"/>
        <v>#N/A</v>
      </c>
    </row>
    <row r="341" spans="1:33" ht="15" customHeight="1" x14ac:dyDescent="0.35">
      <c r="A341" s="185">
        <v>339</v>
      </c>
      <c r="B341" s="172"/>
      <c r="C341" s="193"/>
      <c r="D341" s="324"/>
      <c r="E341" s="332" t="str">
        <f t="shared" si="38"/>
        <v/>
      </c>
      <c r="F341" s="170"/>
      <c r="G341" s="137"/>
      <c r="H341" s="339" t="str">
        <f t="shared" si="44"/>
        <v/>
      </c>
      <c r="I341" s="393"/>
      <c r="J341" s="169"/>
      <c r="K341" s="328"/>
      <c r="L341" s="330" t="str">
        <f t="shared" si="45"/>
        <v/>
      </c>
      <c r="M341" s="33"/>
      <c r="N341" s="168"/>
      <c r="O341" s="172"/>
      <c r="P341" s="183"/>
      <c r="Q341" s="183"/>
      <c r="R341" s="202"/>
      <c r="S341" s="34"/>
      <c r="T341" s="324"/>
      <c r="U341" s="327" t="str">
        <f t="shared" si="46"/>
        <v/>
      </c>
      <c r="V341" s="325"/>
      <c r="W341" s="320"/>
      <c r="X341" s="334"/>
      <c r="AB341" s="370">
        <v>339</v>
      </c>
      <c r="AC341" s="371">
        <f t="shared" si="39"/>
        <v>0</v>
      </c>
      <c r="AD341" s="371">
        <f t="shared" si="40"/>
        <v>0</v>
      </c>
      <c r="AE341" s="371">
        <f t="shared" si="41"/>
        <v>0</v>
      </c>
      <c r="AF341" s="371">
        <f t="shared" si="42"/>
        <v>0</v>
      </c>
      <c r="AG341" s="125" t="e">
        <f t="shared" si="43"/>
        <v>#N/A</v>
      </c>
    </row>
    <row r="342" spans="1:33" ht="15" customHeight="1" x14ac:dyDescent="0.35">
      <c r="A342" s="185">
        <v>340</v>
      </c>
      <c r="B342" s="172"/>
      <c r="C342" s="193"/>
      <c r="D342" s="324"/>
      <c r="E342" s="332" t="str">
        <f t="shared" si="38"/>
        <v/>
      </c>
      <c r="F342" s="170"/>
      <c r="G342" s="137"/>
      <c r="H342" s="339" t="str">
        <f t="shared" si="44"/>
        <v/>
      </c>
      <c r="I342" s="393"/>
      <c r="J342" s="169"/>
      <c r="K342" s="328"/>
      <c r="L342" s="330" t="str">
        <f t="shared" si="45"/>
        <v/>
      </c>
      <c r="M342" s="33"/>
      <c r="N342" s="168"/>
      <c r="O342" s="172"/>
      <c r="P342" s="183"/>
      <c r="Q342" s="183"/>
      <c r="R342" s="202"/>
      <c r="S342" s="34"/>
      <c r="T342" s="324"/>
      <c r="U342" s="327" t="str">
        <f t="shared" si="46"/>
        <v/>
      </c>
      <c r="V342" s="325"/>
      <c r="W342" s="320"/>
      <c r="X342" s="334"/>
      <c r="AB342" s="370">
        <v>340</v>
      </c>
      <c r="AC342" s="371">
        <f t="shared" si="39"/>
        <v>0</v>
      </c>
      <c r="AD342" s="371">
        <f t="shared" si="40"/>
        <v>0</v>
      </c>
      <c r="AE342" s="371">
        <f t="shared" si="41"/>
        <v>0</v>
      </c>
      <c r="AF342" s="371">
        <f t="shared" si="42"/>
        <v>0</v>
      </c>
      <c r="AG342" s="125" t="e">
        <f t="shared" si="43"/>
        <v>#N/A</v>
      </c>
    </row>
    <row r="343" spans="1:33" ht="15" customHeight="1" x14ac:dyDescent="0.35">
      <c r="A343" s="185">
        <v>341</v>
      </c>
      <c r="B343" s="172"/>
      <c r="C343" s="193"/>
      <c r="D343" s="324"/>
      <c r="E343" s="332" t="str">
        <f t="shared" si="38"/>
        <v/>
      </c>
      <c r="F343" s="170"/>
      <c r="G343" s="137"/>
      <c r="H343" s="339" t="str">
        <f t="shared" si="44"/>
        <v/>
      </c>
      <c r="I343" s="393"/>
      <c r="J343" s="169"/>
      <c r="K343" s="328"/>
      <c r="L343" s="330" t="str">
        <f t="shared" si="45"/>
        <v/>
      </c>
      <c r="M343" s="33"/>
      <c r="N343" s="168"/>
      <c r="O343" s="172"/>
      <c r="P343" s="183"/>
      <c r="Q343" s="183"/>
      <c r="R343" s="202"/>
      <c r="S343" s="34"/>
      <c r="T343" s="324"/>
      <c r="U343" s="327" t="str">
        <f t="shared" si="46"/>
        <v/>
      </c>
      <c r="V343" s="325"/>
      <c r="W343" s="320"/>
      <c r="X343" s="334"/>
      <c r="AB343" s="370">
        <v>341</v>
      </c>
      <c r="AC343" s="371">
        <f t="shared" si="39"/>
        <v>0</v>
      </c>
      <c r="AD343" s="371">
        <f t="shared" si="40"/>
        <v>0</v>
      </c>
      <c r="AE343" s="371">
        <f t="shared" si="41"/>
        <v>0</v>
      </c>
      <c r="AF343" s="371">
        <f t="shared" si="42"/>
        <v>0</v>
      </c>
      <c r="AG343" s="125" t="e">
        <f t="shared" si="43"/>
        <v>#N/A</v>
      </c>
    </row>
    <row r="344" spans="1:33" ht="15" customHeight="1" x14ac:dyDescent="0.35">
      <c r="A344" s="185">
        <v>342</v>
      </c>
      <c r="B344" s="172"/>
      <c r="C344" s="193"/>
      <c r="D344" s="324"/>
      <c r="E344" s="332" t="str">
        <f t="shared" si="38"/>
        <v/>
      </c>
      <c r="F344" s="170"/>
      <c r="G344" s="137"/>
      <c r="H344" s="339" t="str">
        <f t="shared" si="44"/>
        <v/>
      </c>
      <c r="I344" s="393"/>
      <c r="J344" s="169"/>
      <c r="K344" s="328"/>
      <c r="L344" s="330" t="str">
        <f t="shared" si="45"/>
        <v/>
      </c>
      <c r="M344" s="33"/>
      <c r="N344" s="168"/>
      <c r="O344" s="172"/>
      <c r="P344" s="183"/>
      <c r="Q344" s="183"/>
      <c r="R344" s="202"/>
      <c r="S344" s="34"/>
      <c r="T344" s="324"/>
      <c r="U344" s="327" t="str">
        <f t="shared" si="46"/>
        <v/>
      </c>
      <c r="V344" s="325"/>
      <c r="W344" s="320"/>
      <c r="X344" s="334"/>
      <c r="AB344" s="370">
        <v>342</v>
      </c>
      <c r="AC344" s="371">
        <f t="shared" si="39"/>
        <v>0</v>
      </c>
      <c r="AD344" s="371">
        <f t="shared" si="40"/>
        <v>0</v>
      </c>
      <c r="AE344" s="371">
        <f t="shared" si="41"/>
        <v>0</v>
      </c>
      <c r="AF344" s="371">
        <f t="shared" si="42"/>
        <v>0</v>
      </c>
      <c r="AG344" s="125" t="e">
        <f t="shared" si="43"/>
        <v>#N/A</v>
      </c>
    </row>
    <row r="345" spans="1:33" ht="15" customHeight="1" x14ac:dyDescent="0.35">
      <c r="A345" s="185">
        <v>343</v>
      </c>
      <c r="B345" s="172"/>
      <c r="C345" s="193"/>
      <c r="D345" s="324"/>
      <c r="E345" s="332" t="str">
        <f t="shared" si="38"/>
        <v/>
      </c>
      <c r="F345" s="170"/>
      <c r="G345" s="137"/>
      <c r="H345" s="339" t="str">
        <f t="shared" si="44"/>
        <v/>
      </c>
      <c r="I345" s="393"/>
      <c r="J345" s="169"/>
      <c r="K345" s="328"/>
      <c r="L345" s="330" t="str">
        <f t="shared" si="45"/>
        <v/>
      </c>
      <c r="M345" s="33"/>
      <c r="N345" s="168"/>
      <c r="O345" s="172"/>
      <c r="P345" s="183"/>
      <c r="Q345" s="183"/>
      <c r="R345" s="202"/>
      <c r="S345" s="34"/>
      <c r="T345" s="324"/>
      <c r="U345" s="327" t="str">
        <f t="shared" si="46"/>
        <v/>
      </c>
      <c r="V345" s="325"/>
      <c r="W345" s="320"/>
      <c r="X345" s="334"/>
      <c r="AB345" s="370">
        <v>343</v>
      </c>
      <c r="AC345" s="371">
        <f t="shared" si="39"/>
        <v>0</v>
      </c>
      <c r="AD345" s="371">
        <f t="shared" si="40"/>
        <v>0</v>
      </c>
      <c r="AE345" s="371">
        <f t="shared" si="41"/>
        <v>0</v>
      </c>
      <c r="AF345" s="371">
        <f t="shared" si="42"/>
        <v>0</v>
      </c>
      <c r="AG345" s="125" t="e">
        <f t="shared" si="43"/>
        <v>#N/A</v>
      </c>
    </row>
    <row r="346" spans="1:33" ht="15" customHeight="1" x14ac:dyDescent="0.35">
      <c r="A346" s="185">
        <v>344</v>
      </c>
      <c r="B346" s="172"/>
      <c r="C346" s="193"/>
      <c r="D346" s="324"/>
      <c r="E346" s="332" t="str">
        <f t="shared" si="38"/>
        <v/>
      </c>
      <c r="F346" s="170"/>
      <c r="G346" s="137"/>
      <c r="H346" s="339" t="str">
        <f t="shared" si="44"/>
        <v/>
      </c>
      <c r="I346" s="393"/>
      <c r="J346" s="169"/>
      <c r="K346" s="328"/>
      <c r="L346" s="330" t="str">
        <f t="shared" si="45"/>
        <v/>
      </c>
      <c r="M346" s="33"/>
      <c r="N346" s="168"/>
      <c r="O346" s="172"/>
      <c r="P346" s="183"/>
      <c r="Q346" s="183"/>
      <c r="R346" s="202"/>
      <c r="S346" s="34"/>
      <c r="T346" s="324"/>
      <c r="U346" s="327" t="str">
        <f t="shared" si="46"/>
        <v/>
      </c>
      <c r="V346" s="325"/>
      <c r="W346" s="320"/>
      <c r="X346" s="334"/>
      <c r="AB346" s="370">
        <v>344</v>
      </c>
      <c r="AC346" s="371">
        <f t="shared" si="39"/>
        <v>0</v>
      </c>
      <c r="AD346" s="371">
        <f t="shared" si="40"/>
        <v>0</v>
      </c>
      <c r="AE346" s="371">
        <f t="shared" si="41"/>
        <v>0</v>
      </c>
      <c r="AF346" s="371">
        <f t="shared" si="42"/>
        <v>0</v>
      </c>
      <c r="AG346" s="125" t="e">
        <f t="shared" si="43"/>
        <v>#N/A</v>
      </c>
    </row>
    <row r="347" spans="1:33" ht="15" customHeight="1" x14ac:dyDescent="0.35">
      <c r="A347" s="185">
        <v>345</v>
      </c>
      <c r="B347" s="172"/>
      <c r="C347" s="193"/>
      <c r="D347" s="324"/>
      <c r="E347" s="332" t="str">
        <f t="shared" si="38"/>
        <v/>
      </c>
      <c r="F347" s="170"/>
      <c r="G347" s="137"/>
      <c r="H347" s="339" t="str">
        <f t="shared" si="44"/>
        <v/>
      </c>
      <c r="I347" s="393"/>
      <c r="J347" s="169"/>
      <c r="K347" s="328"/>
      <c r="L347" s="330" t="str">
        <f t="shared" si="45"/>
        <v/>
      </c>
      <c r="M347" s="33"/>
      <c r="N347" s="168"/>
      <c r="O347" s="172"/>
      <c r="P347" s="183"/>
      <c r="Q347" s="183"/>
      <c r="R347" s="202"/>
      <c r="S347" s="34"/>
      <c r="T347" s="324"/>
      <c r="U347" s="327" t="str">
        <f t="shared" si="46"/>
        <v/>
      </c>
      <c r="V347" s="325"/>
      <c r="W347" s="320"/>
      <c r="X347" s="334"/>
      <c r="AB347" s="370">
        <v>345</v>
      </c>
      <c r="AC347" s="371">
        <f t="shared" si="39"/>
        <v>0</v>
      </c>
      <c r="AD347" s="371">
        <f t="shared" si="40"/>
        <v>0</v>
      </c>
      <c r="AE347" s="371">
        <f t="shared" si="41"/>
        <v>0</v>
      </c>
      <c r="AF347" s="371">
        <f t="shared" si="42"/>
        <v>0</v>
      </c>
      <c r="AG347" s="125" t="e">
        <f t="shared" si="43"/>
        <v>#N/A</v>
      </c>
    </row>
    <row r="348" spans="1:33" ht="15" customHeight="1" x14ac:dyDescent="0.35">
      <c r="A348" s="185">
        <v>346</v>
      </c>
      <c r="B348" s="172"/>
      <c r="C348" s="193"/>
      <c r="D348" s="324"/>
      <c r="E348" s="332" t="str">
        <f t="shared" si="38"/>
        <v/>
      </c>
      <c r="F348" s="170"/>
      <c r="G348" s="137"/>
      <c r="H348" s="339" t="str">
        <f t="shared" si="44"/>
        <v/>
      </c>
      <c r="I348" s="393"/>
      <c r="J348" s="169"/>
      <c r="K348" s="328"/>
      <c r="L348" s="330" t="str">
        <f t="shared" si="45"/>
        <v/>
      </c>
      <c r="M348" s="33"/>
      <c r="N348" s="168"/>
      <c r="O348" s="172"/>
      <c r="P348" s="183"/>
      <c r="Q348" s="183"/>
      <c r="R348" s="202"/>
      <c r="S348" s="34"/>
      <c r="T348" s="324"/>
      <c r="U348" s="327" t="str">
        <f t="shared" si="46"/>
        <v/>
      </c>
      <c r="V348" s="325"/>
      <c r="W348" s="320"/>
      <c r="X348" s="334"/>
      <c r="AB348" s="370">
        <v>346</v>
      </c>
      <c r="AC348" s="371">
        <f t="shared" si="39"/>
        <v>0</v>
      </c>
      <c r="AD348" s="371">
        <f t="shared" si="40"/>
        <v>0</v>
      </c>
      <c r="AE348" s="371">
        <f t="shared" si="41"/>
        <v>0</v>
      </c>
      <c r="AF348" s="371">
        <f t="shared" si="42"/>
        <v>0</v>
      </c>
      <c r="AG348" s="125" t="e">
        <f t="shared" si="43"/>
        <v>#N/A</v>
      </c>
    </row>
    <row r="349" spans="1:33" ht="15" customHeight="1" x14ac:dyDescent="0.35">
      <c r="A349" s="185">
        <v>347</v>
      </c>
      <c r="B349" s="172"/>
      <c r="C349" s="193"/>
      <c r="D349" s="324"/>
      <c r="E349" s="332" t="str">
        <f t="shared" si="38"/>
        <v/>
      </c>
      <c r="F349" s="170"/>
      <c r="G349" s="137"/>
      <c r="H349" s="339" t="str">
        <f t="shared" si="44"/>
        <v/>
      </c>
      <c r="I349" s="393"/>
      <c r="J349" s="169"/>
      <c r="K349" s="328"/>
      <c r="L349" s="330" t="str">
        <f t="shared" si="45"/>
        <v/>
      </c>
      <c r="M349" s="33"/>
      <c r="N349" s="168"/>
      <c r="O349" s="172"/>
      <c r="P349" s="183"/>
      <c r="Q349" s="183"/>
      <c r="R349" s="202"/>
      <c r="S349" s="34"/>
      <c r="T349" s="324"/>
      <c r="U349" s="327" t="str">
        <f t="shared" si="46"/>
        <v/>
      </c>
      <c r="V349" s="325"/>
      <c r="W349" s="320"/>
      <c r="X349" s="334"/>
      <c r="AB349" s="370">
        <v>347</v>
      </c>
      <c r="AC349" s="371">
        <f t="shared" si="39"/>
        <v>0</v>
      </c>
      <c r="AD349" s="371">
        <f t="shared" si="40"/>
        <v>0</v>
      </c>
      <c r="AE349" s="371">
        <f t="shared" si="41"/>
        <v>0</v>
      </c>
      <c r="AF349" s="371">
        <f t="shared" si="42"/>
        <v>0</v>
      </c>
      <c r="AG349" s="125" t="e">
        <f t="shared" si="43"/>
        <v>#N/A</v>
      </c>
    </row>
    <row r="350" spans="1:33" ht="15" customHeight="1" x14ac:dyDescent="0.35">
      <c r="A350" s="185">
        <v>348</v>
      </c>
      <c r="B350" s="172"/>
      <c r="C350" s="193"/>
      <c r="D350" s="324"/>
      <c r="E350" s="332" t="str">
        <f t="shared" si="38"/>
        <v/>
      </c>
      <c r="F350" s="170"/>
      <c r="G350" s="137"/>
      <c r="H350" s="339" t="str">
        <f t="shared" si="44"/>
        <v/>
      </c>
      <c r="I350" s="393"/>
      <c r="J350" s="169"/>
      <c r="K350" s="328"/>
      <c r="L350" s="330" t="str">
        <f t="shared" si="45"/>
        <v/>
      </c>
      <c r="M350" s="33"/>
      <c r="N350" s="168"/>
      <c r="O350" s="172"/>
      <c r="P350" s="183"/>
      <c r="Q350" s="183"/>
      <c r="R350" s="202"/>
      <c r="S350" s="34"/>
      <c r="T350" s="324"/>
      <c r="U350" s="327" t="str">
        <f t="shared" si="46"/>
        <v/>
      </c>
      <c r="V350" s="325"/>
      <c r="W350" s="320"/>
      <c r="X350" s="334"/>
      <c r="AB350" s="370">
        <v>348</v>
      </c>
      <c r="AC350" s="371">
        <f t="shared" si="39"/>
        <v>0</v>
      </c>
      <c r="AD350" s="371">
        <f t="shared" si="40"/>
        <v>0</v>
      </c>
      <c r="AE350" s="371">
        <f t="shared" si="41"/>
        <v>0</v>
      </c>
      <c r="AF350" s="371">
        <f t="shared" si="42"/>
        <v>0</v>
      </c>
      <c r="AG350" s="125" t="e">
        <f t="shared" si="43"/>
        <v>#N/A</v>
      </c>
    </row>
    <row r="351" spans="1:33" ht="15" customHeight="1" x14ac:dyDescent="0.35">
      <c r="A351" s="185">
        <v>349</v>
      </c>
      <c r="B351" s="172"/>
      <c r="C351" s="193"/>
      <c r="D351" s="324"/>
      <c r="E351" s="332" t="str">
        <f t="shared" si="38"/>
        <v/>
      </c>
      <c r="F351" s="170"/>
      <c r="G351" s="137"/>
      <c r="H351" s="339" t="str">
        <f t="shared" si="44"/>
        <v/>
      </c>
      <c r="I351" s="393"/>
      <c r="J351" s="169"/>
      <c r="K351" s="328"/>
      <c r="L351" s="330" t="str">
        <f t="shared" si="45"/>
        <v/>
      </c>
      <c r="M351" s="33"/>
      <c r="N351" s="168"/>
      <c r="O351" s="172"/>
      <c r="P351" s="183"/>
      <c r="Q351" s="183"/>
      <c r="R351" s="202"/>
      <c r="S351" s="34"/>
      <c r="T351" s="324"/>
      <c r="U351" s="327" t="str">
        <f t="shared" si="46"/>
        <v/>
      </c>
      <c r="V351" s="325"/>
      <c r="W351" s="320"/>
      <c r="X351" s="334"/>
      <c r="AB351" s="370">
        <v>349</v>
      </c>
      <c r="AC351" s="371">
        <f t="shared" si="39"/>
        <v>0</v>
      </c>
      <c r="AD351" s="371">
        <f t="shared" si="40"/>
        <v>0</v>
      </c>
      <c r="AE351" s="371">
        <f t="shared" si="41"/>
        <v>0</v>
      </c>
      <c r="AF351" s="371">
        <f t="shared" si="42"/>
        <v>0</v>
      </c>
      <c r="AG351" s="125" t="e">
        <f t="shared" si="43"/>
        <v>#N/A</v>
      </c>
    </row>
    <row r="352" spans="1:33" ht="15" customHeight="1" thickBot="1" x14ac:dyDescent="0.4">
      <c r="A352" s="185">
        <v>350</v>
      </c>
      <c r="B352" s="172"/>
      <c r="C352" s="193"/>
      <c r="D352" s="324"/>
      <c r="E352" s="332" t="str">
        <f t="shared" si="38"/>
        <v/>
      </c>
      <c r="F352" s="170"/>
      <c r="G352" s="137"/>
      <c r="H352" s="339" t="str">
        <f t="shared" si="44"/>
        <v/>
      </c>
      <c r="I352" s="393"/>
      <c r="J352" s="169"/>
      <c r="K352" s="328"/>
      <c r="L352" s="330" t="str">
        <f t="shared" si="45"/>
        <v/>
      </c>
      <c r="M352" s="33"/>
      <c r="N352" s="168"/>
      <c r="O352" s="172"/>
      <c r="P352" s="183"/>
      <c r="Q352" s="183"/>
      <c r="R352" s="202"/>
      <c r="S352" s="34"/>
      <c r="T352" s="324"/>
      <c r="U352" s="327" t="str">
        <f t="shared" si="46"/>
        <v/>
      </c>
      <c r="V352" s="325"/>
      <c r="W352" s="320"/>
      <c r="X352" s="334"/>
      <c r="AB352" s="286">
        <v>350</v>
      </c>
      <c r="AC352" s="287">
        <f t="shared" si="15"/>
        <v>0</v>
      </c>
      <c r="AD352" s="287">
        <f t="shared" si="16"/>
        <v>0</v>
      </c>
      <c r="AE352" s="287">
        <f t="shared" si="17"/>
        <v>0</v>
      </c>
      <c r="AF352" s="287">
        <f t="shared" si="18"/>
        <v>0</v>
      </c>
      <c r="AG352" s="288" t="e">
        <f t="shared" si="19"/>
        <v>#N/A</v>
      </c>
    </row>
    <row r="353" spans="1:33" ht="15" thickTop="1" x14ac:dyDescent="0.35">
      <c r="A353" s="346"/>
      <c r="B353" s="347"/>
      <c r="C353" s="348"/>
      <c r="D353" s="348"/>
      <c r="E353" s="349"/>
      <c r="F353" s="350"/>
      <c r="G353" s="351"/>
      <c r="H353" s="352"/>
      <c r="I353" s="352"/>
      <c r="J353" s="352"/>
      <c r="K353" s="352"/>
      <c r="L353" s="352"/>
      <c r="M353" s="353"/>
      <c r="N353" s="351"/>
      <c r="O353" s="351"/>
      <c r="P353" s="354"/>
      <c r="Q353" s="354"/>
      <c r="R353" s="355"/>
      <c r="S353" s="351"/>
      <c r="T353" s="355"/>
      <c r="U353" s="356"/>
      <c r="V353" s="351"/>
      <c r="W353" s="351"/>
      <c r="X353" s="357"/>
      <c r="AB353" s="124" t="s">
        <v>13</v>
      </c>
      <c r="AC353" s="124">
        <f>SUM(AC3:AC352)</f>
        <v>0</v>
      </c>
      <c r="AD353" s="124">
        <f>SUM(AD3:AD352)</f>
        <v>0</v>
      </c>
      <c r="AE353" s="124">
        <f>SUM(AE3:AE352)</f>
        <v>0</v>
      </c>
      <c r="AF353" s="124">
        <f>SUM(AF3:AF352)</f>
        <v>0</v>
      </c>
      <c r="AG353" s="124">
        <f>SUM(AC353:AF353)</f>
        <v>0</v>
      </c>
    </row>
    <row r="354" spans="1:33" x14ac:dyDescent="0.35">
      <c r="A354" s="20"/>
      <c r="B354" s="21"/>
      <c r="C354" s="22"/>
      <c r="D354" s="22"/>
      <c r="P354" s="177"/>
      <c r="Q354" s="305"/>
      <c r="U354" s="19"/>
      <c r="V354" s="17"/>
      <c r="W354" s="17"/>
      <c r="X354" s="19"/>
    </row>
    <row r="355" spans="1:33" x14ac:dyDescent="0.35">
      <c r="A355" s="5"/>
      <c r="B355" s="5"/>
      <c r="C355" s="6"/>
      <c r="D355" s="25"/>
      <c r="E355" s="5"/>
      <c r="F355" s="5"/>
      <c r="G355" s="5"/>
      <c r="H355" s="205" t="s">
        <v>84</v>
      </c>
      <c r="I355" s="342">
        <f>COUNTA(I3:I352)</f>
        <v>0</v>
      </c>
      <c r="J355" s="5"/>
      <c r="K355" s="205" t="s">
        <v>84</v>
      </c>
      <c r="L355" s="345">
        <f>M364</f>
        <v>0</v>
      </c>
      <c r="M355" s="9"/>
      <c r="N355" s="5"/>
      <c r="O355" s="298" t="s">
        <v>84</v>
      </c>
      <c r="P355" s="316">
        <f>COUNTA(P3:P352)</f>
        <v>0</v>
      </c>
      <c r="Q355" s="316"/>
      <c r="R355" s="9"/>
      <c r="S355" s="5"/>
      <c r="T355" s="5"/>
      <c r="U355" s="298" t="s">
        <v>84</v>
      </c>
      <c r="V355" s="316">
        <f>COUNTA(V3:V352)</f>
        <v>0</v>
      </c>
      <c r="W355" s="316"/>
      <c r="X355" s="299"/>
    </row>
    <row r="356" spans="1:33" x14ac:dyDescent="0.35">
      <c r="A356" s="5"/>
      <c r="B356" s="5"/>
      <c r="C356" s="6"/>
      <c r="D356" s="25"/>
      <c r="E356" s="5"/>
      <c r="F356" s="5"/>
      <c r="G356" s="5"/>
      <c r="H356" s="5"/>
      <c r="I356" s="335" t="s">
        <v>164</v>
      </c>
      <c r="J356" s="358" t="s">
        <v>16</v>
      </c>
      <c r="K356" s="342" t="s">
        <v>169</v>
      </c>
      <c r="L356" s="289" t="s">
        <v>106</v>
      </c>
      <c r="M356" s="219" t="s">
        <v>16</v>
      </c>
      <c r="N356" s="5"/>
      <c r="O356" s="9"/>
      <c r="P356" s="289" t="s">
        <v>150</v>
      </c>
      <c r="Q356" s="289"/>
      <c r="R356" s="219" t="s">
        <v>16</v>
      </c>
      <c r="S356" s="5"/>
      <c r="T356" s="5"/>
      <c r="U356" s="299"/>
      <c r="V356" s="289" t="s">
        <v>124</v>
      </c>
      <c r="W356" s="289"/>
      <c r="X356" s="219" t="s">
        <v>16</v>
      </c>
    </row>
    <row r="357" spans="1:33" x14ac:dyDescent="0.35">
      <c r="A357" s="5"/>
      <c r="B357" s="5"/>
      <c r="C357" s="6"/>
      <c r="D357" s="25"/>
      <c r="E357" s="5"/>
      <c r="F357" s="5"/>
      <c r="G357" s="5"/>
      <c r="H357" s="5"/>
      <c r="I357" s="123" t="s">
        <v>165</v>
      </c>
      <c r="J357" s="359">
        <f>COUNTIF(I3:I352,"Straight or Heterosexual")</f>
        <v>0</v>
      </c>
      <c r="K357" s="343" t="e">
        <f>J357/$J$361</f>
        <v>#DIV/0!</v>
      </c>
      <c r="L357" s="290" t="s">
        <v>9</v>
      </c>
      <c r="M357" s="291">
        <f>COUNTIF(L3:L352,"White or Caucasian")</f>
        <v>0</v>
      </c>
      <c r="N357" s="5"/>
      <c r="O357" s="9"/>
      <c r="P357" s="306" t="s">
        <v>43</v>
      </c>
      <c r="Q357" s="307"/>
      <c r="R357" s="308">
        <f>COUNTIF(P3:P352,"Declined to Participate")</f>
        <v>0</v>
      </c>
      <c r="S357" s="5"/>
      <c r="T357" s="5"/>
      <c r="U357" s="23"/>
      <c r="V357" s="290" t="s">
        <v>127</v>
      </c>
      <c r="W357" s="290"/>
      <c r="X357" s="291">
        <f>COUNTIF(V3:V352,"New Offense During Program: Drug Possession")</f>
        <v>0</v>
      </c>
    </row>
    <row r="358" spans="1:33" x14ac:dyDescent="0.35">
      <c r="A358" s="5"/>
      <c r="B358" s="5"/>
      <c r="C358" s="6"/>
      <c r="D358" s="25"/>
      <c r="E358" s="5"/>
      <c r="F358" s="5"/>
      <c r="G358" s="5"/>
      <c r="H358" s="5"/>
      <c r="I358" s="123" t="s">
        <v>166</v>
      </c>
      <c r="J358" s="359">
        <f>COUNTIF(I3:I352, "Bisexual")</f>
        <v>0</v>
      </c>
      <c r="K358" s="343" t="e">
        <f t="shared" ref="K358:K360" si="47">J358/$J$361</f>
        <v>#DIV/0!</v>
      </c>
      <c r="L358" s="290" t="s">
        <v>10</v>
      </c>
      <c r="M358" s="291">
        <f>COUNTIF(L3:L352,"Black or African-American")</f>
        <v>0</v>
      </c>
      <c r="N358" s="5"/>
      <c r="O358" s="9"/>
      <c r="P358" s="306" t="s">
        <v>42</v>
      </c>
      <c r="Q358" s="307"/>
      <c r="R358" s="308">
        <f>COUNTIF(P3:P352,"Not a Resident of Juris.")</f>
        <v>0</v>
      </c>
      <c r="S358" s="5"/>
      <c r="T358" s="5"/>
      <c r="U358" s="300"/>
      <c r="V358" s="322" t="s">
        <v>128</v>
      </c>
      <c r="W358" s="322"/>
      <c r="X358" s="323">
        <f>COUNTIF(V3:V352,"New Offense During Program: Not Drug Possession")</f>
        <v>0</v>
      </c>
    </row>
    <row r="359" spans="1:33" x14ac:dyDescent="0.35">
      <c r="A359" s="9"/>
      <c r="B359" s="9"/>
      <c r="C359" s="10"/>
      <c r="D359" s="25"/>
      <c r="E359" s="9"/>
      <c r="F359" s="9"/>
      <c r="G359" s="9"/>
      <c r="H359" s="9"/>
      <c r="I359" s="123" t="s">
        <v>167</v>
      </c>
      <c r="J359" s="359">
        <f>COUNTIF(I3:I352, "Gay or Lesbian")</f>
        <v>0</v>
      </c>
      <c r="K359" s="343" t="e">
        <f t="shared" si="47"/>
        <v>#DIV/0!</v>
      </c>
      <c r="L359" s="290" t="s">
        <v>11</v>
      </c>
      <c r="M359" s="291">
        <f>COUNTIF(L3:L352,"American Indian or Alaska Native")</f>
        <v>0</v>
      </c>
      <c r="N359" s="9"/>
      <c r="O359" s="9"/>
      <c r="P359" s="306" t="s">
        <v>130</v>
      </c>
      <c r="Q359" s="307"/>
      <c r="R359" s="308">
        <f>COUNTIF(P3:P352,"Charges dropped or found not guilty")</f>
        <v>0</v>
      </c>
      <c r="S359" s="9"/>
      <c r="T359" s="10"/>
      <c r="U359" s="10"/>
      <c r="V359" s="322" t="s">
        <v>2</v>
      </c>
      <c r="W359" s="322"/>
      <c r="X359" s="323">
        <f>COUNTIF(V3:V352,"Absconded")</f>
        <v>0</v>
      </c>
    </row>
    <row r="360" spans="1:33" ht="15" thickBot="1" x14ac:dyDescent="0.4">
      <c r="I360" s="296" t="s">
        <v>168</v>
      </c>
      <c r="J360" s="360">
        <f>COUNTIF(I3:I352, "Unsure")</f>
        <v>0</v>
      </c>
      <c r="K360" s="343" t="e">
        <f t="shared" si="47"/>
        <v>#DIV/0!</v>
      </c>
      <c r="L360" s="290" t="s">
        <v>5</v>
      </c>
      <c r="M360" s="291">
        <f>COUNTIF(L3:L352,"Asian")</f>
        <v>0</v>
      </c>
      <c r="O360" s="181"/>
      <c r="P360" s="309" t="s">
        <v>147</v>
      </c>
      <c r="Q360" s="307"/>
      <c r="R360" s="308">
        <f>COUNTIF(P3:P352,"Pending charges in another court or jurisdiction")</f>
        <v>0</v>
      </c>
      <c r="U360" s="24"/>
      <c r="V360" s="322" t="s">
        <v>44</v>
      </c>
      <c r="W360" s="322"/>
      <c r="X360" s="323">
        <f>COUNTIF(V3:V352,"Voluntary Withdrawal")</f>
        <v>0</v>
      </c>
    </row>
    <row r="361" spans="1:33" ht="15" thickTop="1" x14ac:dyDescent="0.35">
      <c r="G361" s="40"/>
      <c r="H361" s="23"/>
      <c r="I361" s="361" t="s">
        <v>13</v>
      </c>
      <c r="J361" s="362">
        <f>SUM(J357:J360)</f>
        <v>0</v>
      </c>
      <c r="L361" s="290" t="s">
        <v>12</v>
      </c>
      <c r="M361" s="291">
        <f>COUNTIF(L3:L352,"Pacific Islander")</f>
        <v>0</v>
      </c>
      <c r="O361" s="181"/>
      <c r="P361" s="306" t="s">
        <v>121</v>
      </c>
      <c r="Q361" s="307"/>
      <c r="R361" s="308">
        <f>COUNTIF(P3:P352,"Outstanding Warrant(s)")</f>
        <v>0</v>
      </c>
      <c r="U361" s="24"/>
      <c r="V361" s="322" t="s">
        <v>151</v>
      </c>
      <c r="W361" s="322"/>
      <c r="X361" s="323">
        <f>COUNTIF(V3:V352,"Administrative Discharge (later determined not to be eligible; e.g., other pending charge; lives out of jurisdiction)")</f>
        <v>0</v>
      </c>
    </row>
    <row r="362" spans="1:33" x14ac:dyDescent="0.35">
      <c r="G362" s="40"/>
      <c r="H362" s="23"/>
      <c r="I362" s="23"/>
      <c r="J362" s="8"/>
      <c r="L362" s="290" t="s">
        <v>109</v>
      </c>
      <c r="M362" s="291">
        <f>COUNTIF(L3:L352,"Blended Race")</f>
        <v>0</v>
      </c>
      <c r="O362" s="181"/>
      <c r="P362" s="306" t="s">
        <v>131</v>
      </c>
      <c r="Q362" s="307"/>
      <c r="R362" s="308">
        <f>COUNTIF(P3:P352,"Off. Involved Weapon")</f>
        <v>0</v>
      </c>
      <c r="U362" s="24"/>
      <c r="V362" s="322" t="s">
        <v>152</v>
      </c>
      <c r="W362" s="322"/>
      <c r="X362" s="323">
        <f>COUNTIF(V3:V352,"Multiple Positive Drug Tests")</f>
        <v>0</v>
      </c>
    </row>
    <row r="363" spans="1:33" ht="15" thickBot="1" x14ac:dyDescent="0.4">
      <c r="G363" s="40"/>
      <c r="H363" s="23"/>
      <c r="I363" s="23"/>
      <c r="L363" s="296" t="s">
        <v>14</v>
      </c>
      <c r="M363" s="293">
        <f>COUNTIF(L3:L352,"Other")</f>
        <v>0</v>
      </c>
      <c r="O363" s="181"/>
      <c r="P363" s="306" t="s">
        <v>132</v>
      </c>
      <c r="Q363" s="307"/>
      <c r="R363" s="308">
        <f>COUNTIF(P3:P352,"Off. Involved Drug Dist./Traf.")</f>
        <v>0</v>
      </c>
      <c r="U363" s="24"/>
      <c r="V363" s="322" t="s">
        <v>153</v>
      </c>
      <c r="W363" s="322"/>
      <c r="X363" s="323">
        <f>COUNTIF(V3:V352,"Failure to Comply with rules of supervision (please specify rule).")</f>
        <v>0</v>
      </c>
    </row>
    <row r="364" spans="1:33" ht="15" thickTop="1" x14ac:dyDescent="0.35">
      <c r="G364" s="94"/>
      <c r="H364" s="23"/>
      <c r="I364" s="23"/>
      <c r="L364" s="297" t="s">
        <v>13</v>
      </c>
      <c r="M364" s="295">
        <f>SUM(M357:M363)</f>
        <v>0</v>
      </c>
      <c r="O364" s="181"/>
      <c r="P364" s="306" t="s">
        <v>133</v>
      </c>
      <c r="Q364" s="307"/>
      <c r="R364" s="308">
        <f>COUNTIF(P3:P352,"Off. Involved Violent Crime")</f>
        <v>0</v>
      </c>
      <c r="U364" s="24"/>
      <c r="V364" s="311" t="s">
        <v>171</v>
      </c>
      <c r="W364" s="311"/>
      <c r="X364" s="323">
        <f>COUNTIF(V3:V352,"Lack of attendance in treatment")</f>
        <v>0</v>
      </c>
    </row>
    <row r="365" spans="1:33" x14ac:dyDescent="0.35">
      <c r="G365" s="40"/>
      <c r="H365" s="23"/>
      <c r="I365" s="23"/>
      <c r="O365" s="181"/>
      <c r="P365" s="306" t="s">
        <v>134</v>
      </c>
      <c r="Q365" s="307"/>
      <c r="R365" s="308">
        <f>COUNTIF(P3:P352,"Off. Involved Sex Offense")</f>
        <v>0</v>
      </c>
      <c r="U365" s="24"/>
      <c r="V365" s="311" t="s">
        <v>156</v>
      </c>
      <c r="W365" s="311"/>
      <c r="X365" s="323">
        <f>COUNTIF(V3:V352,"Poor attitude, low motivation, not ready for treatment")</f>
        <v>0</v>
      </c>
    </row>
    <row r="366" spans="1:33" x14ac:dyDescent="0.35">
      <c r="G366" s="40"/>
      <c r="H366" s="23"/>
      <c r="I366" s="23"/>
      <c r="O366" s="181"/>
      <c r="P366" s="306" t="s">
        <v>135</v>
      </c>
      <c r="Q366" s="307"/>
      <c r="R366" s="308">
        <f>COUNTIF(P3:P352,"Off. Involved Prostitution")</f>
        <v>0</v>
      </c>
      <c r="U366" s="24"/>
      <c r="V366" s="311" t="s">
        <v>144</v>
      </c>
      <c r="W366" s="311"/>
      <c r="X366" s="323">
        <f>COUNTIF(V3:V352,"Needed treatment resources not available (please specify)")</f>
        <v>0</v>
      </c>
    </row>
    <row r="367" spans="1:33" x14ac:dyDescent="0.35">
      <c r="G367" s="41"/>
      <c r="H367" s="23"/>
      <c r="I367" s="23"/>
      <c r="O367" s="181"/>
      <c r="P367" s="306" t="s">
        <v>35</v>
      </c>
      <c r="Q367" s="307"/>
      <c r="R367" s="308">
        <f>COUNTIF(P3:P352,"History of Weapon")</f>
        <v>0</v>
      </c>
      <c r="U367" s="24"/>
      <c r="V367" s="311" t="s">
        <v>129</v>
      </c>
      <c r="W367" s="311"/>
      <c r="X367" s="323">
        <f>COUNTIF(V3:V352,"Transferred to Mental Health Court")</f>
        <v>0</v>
      </c>
    </row>
    <row r="368" spans="1:33" x14ac:dyDescent="0.35">
      <c r="G368" s="14"/>
      <c r="H368" s="14"/>
      <c r="I368" s="14"/>
      <c r="O368" s="181"/>
      <c r="P368" s="306" t="s">
        <v>36</v>
      </c>
      <c r="Q368" s="307"/>
      <c r="R368" s="308">
        <f>COUNTIF(P3:P352,"History of Prostitution")</f>
        <v>0</v>
      </c>
      <c r="U368" s="24"/>
      <c r="V368" s="311" t="s">
        <v>154</v>
      </c>
      <c r="W368" s="311"/>
      <c r="X368" s="323">
        <f>COUNTIF(V3:V352,"Transferred to Another Treatment Court")</f>
        <v>0</v>
      </c>
    </row>
    <row r="369" spans="5:24" x14ac:dyDescent="0.35">
      <c r="G369" s="14"/>
      <c r="H369" s="14"/>
      <c r="I369" s="14"/>
      <c r="O369" s="181"/>
      <c r="P369" s="306" t="s">
        <v>136</v>
      </c>
      <c r="Q369" s="307"/>
      <c r="R369" s="308">
        <f>COUNTIF(P3:P352,"History of Drug Dist./Traf.")</f>
        <v>0</v>
      </c>
      <c r="V369" s="311" t="s">
        <v>155</v>
      </c>
      <c r="W369" s="311"/>
      <c r="X369" s="323">
        <f>COUNTIF(V3:V352,"Death or serious medical illness or injury")</f>
        <v>0</v>
      </c>
    </row>
    <row r="370" spans="5:24" ht="15" thickBot="1" x14ac:dyDescent="0.4">
      <c r="G370" s="42"/>
      <c r="H370" s="16"/>
      <c r="I370" s="16"/>
      <c r="O370" s="181"/>
      <c r="P370" s="306" t="s">
        <v>37</v>
      </c>
      <c r="Q370" s="307"/>
      <c r="R370" s="308">
        <f>COUNTIF(P3:P352,"History of Violent Crime")</f>
        <v>0</v>
      </c>
      <c r="V370" s="292" t="s">
        <v>146</v>
      </c>
      <c r="W370" s="292"/>
      <c r="X370" s="293">
        <f>COUNTIF(V3:V352,"Other (please specify)")</f>
        <v>0</v>
      </c>
    </row>
    <row r="371" spans="5:24" ht="15" thickTop="1" x14ac:dyDescent="0.35">
      <c r="G371" s="42"/>
      <c r="H371" s="16"/>
      <c r="I371" s="16"/>
      <c r="O371" s="181"/>
      <c r="P371" s="306" t="s">
        <v>38</v>
      </c>
      <c r="Q371" s="307"/>
      <c r="R371" s="308">
        <f>COUNTIF(P3:P352,"History of Sex Offense")</f>
        <v>0</v>
      </c>
      <c r="V371" s="294" t="s">
        <v>13</v>
      </c>
      <c r="W371" s="294"/>
      <c r="X371" s="295">
        <f>SUM(X357:X370)</f>
        <v>0</v>
      </c>
    </row>
    <row r="372" spans="5:24" x14ac:dyDescent="0.35">
      <c r="E372" s="3"/>
      <c r="G372" s="42"/>
      <c r="H372" s="16"/>
      <c r="I372" s="16"/>
      <c r="O372" s="181"/>
      <c r="P372" s="306" t="s">
        <v>137</v>
      </c>
      <c r="Q372" s="307"/>
      <c r="R372" s="308">
        <f>COUNTIF(P3:P352,"Not High Crim. Risk")</f>
        <v>0</v>
      </c>
    </row>
    <row r="373" spans="5:24" x14ac:dyDescent="0.35">
      <c r="E373" s="3"/>
      <c r="G373" s="42"/>
      <c r="H373" s="16"/>
      <c r="I373" s="16"/>
      <c r="O373" s="181"/>
      <c r="P373" s="309" t="s">
        <v>138</v>
      </c>
      <c r="Q373" s="307"/>
      <c r="R373" s="308">
        <f>COUNTIF(P3:P352,"Criminogenic risk level is too high")</f>
        <v>0</v>
      </c>
    </row>
    <row r="374" spans="5:24" x14ac:dyDescent="0.35">
      <c r="E374" s="3"/>
      <c r="G374" s="42"/>
      <c r="H374" s="16"/>
      <c r="I374" s="16"/>
      <c r="O374" s="181"/>
      <c r="P374" s="306" t="s">
        <v>39</v>
      </c>
      <c r="Q374" s="307"/>
      <c r="R374" s="308">
        <f>COUNTIF(P3:P352,"No Substance Use Diagnosis")</f>
        <v>0</v>
      </c>
    </row>
    <row r="375" spans="5:24" x14ac:dyDescent="0.35">
      <c r="E375" s="3"/>
      <c r="G375" s="42"/>
      <c r="H375" s="16"/>
      <c r="I375" s="16"/>
      <c r="O375" s="181"/>
      <c r="P375" s="306" t="s">
        <v>40</v>
      </c>
      <c r="Q375" s="307"/>
      <c r="R375" s="308">
        <f>COUNTIF(P3:P352,"Severe Mental Illness")</f>
        <v>0</v>
      </c>
    </row>
    <row r="376" spans="5:24" x14ac:dyDescent="0.35">
      <c r="E376" s="3"/>
      <c r="O376" s="181"/>
      <c r="P376" s="309" t="s">
        <v>139</v>
      </c>
      <c r="Q376" s="310"/>
      <c r="R376" s="308">
        <f>COUNTIF(P3:P352,"Not motivated or ready for treatment")</f>
        <v>0</v>
      </c>
    </row>
    <row r="377" spans="5:24" x14ac:dyDescent="0.35">
      <c r="E377" s="3"/>
      <c r="G377" s="12"/>
      <c r="H377" s="8"/>
      <c r="J377" s="8"/>
      <c r="M377" s="8"/>
      <c r="N377" s="8"/>
      <c r="O377" s="181"/>
      <c r="P377" s="309" t="s">
        <v>140</v>
      </c>
      <c r="Q377" s="310"/>
      <c r="R377" s="308">
        <f>COUNTIF(P3:P352,"Serious medical illness")</f>
        <v>0</v>
      </c>
      <c r="S377" s="8"/>
    </row>
    <row r="378" spans="5:24" x14ac:dyDescent="0.35">
      <c r="E378" s="3"/>
      <c r="O378" s="181"/>
      <c r="P378" s="309" t="s">
        <v>126</v>
      </c>
      <c r="Q378" s="310"/>
      <c r="R378" s="308">
        <f>COUNTIF(P3:P352,"Referred to Mental Health Court")</f>
        <v>0</v>
      </c>
    </row>
    <row r="379" spans="5:24" x14ac:dyDescent="0.35">
      <c r="E379" s="3"/>
      <c r="O379" s="181"/>
      <c r="P379" s="309" t="s">
        <v>141</v>
      </c>
      <c r="Q379" s="310"/>
      <c r="R379" s="308">
        <f>COUNTIF(P3:P352,"Referred to other Treatment Court (e.g,. Veterans, DWI, Hybrid, Co-Occuring Courts)")</f>
        <v>0</v>
      </c>
    </row>
    <row r="380" spans="5:24" x14ac:dyDescent="0.35">
      <c r="E380" s="3"/>
      <c r="O380" s="181"/>
      <c r="P380" s="141" t="s">
        <v>148</v>
      </c>
      <c r="Q380" s="310"/>
      <c r="R380" s="308">
        <f>COUNTIF(P3:P352,"Referred to another Non-Custodial Rehabilitative Program")</f>
        <v>0</v>
      </c>
    </row>
    <row r="381" spans="5:24" x14ac:dyDescent="0.35">
      <c r="E381" s="3"/>
      <c r="O381" s="181"/>
      <c r="P381" s="306" t="s">
        <v>142</v>
      </c>
      <c r="Q381" s="311"/>
      <c r="R381" s="308">
        <f>COUNTIF(P3:P352,"Previous Participation in Drug Court")</f>
        <v>0</v>
      </c>
    </row>
    <row r="382" spans="5:24" x14ac:dyDescent="0.35">
      <c r="E382" s="3"/>
      <c r="G382" s="24"/>
      <c r="O382" s="181"/>
      <c r="P382" s="306" t="s">
        <v>162</v>
      </c>
      <c r="Q382" s="310"/>
      <c r="R382" s="308">
        <f>COUNTIF(P3:P352,"Previous Participation in Other Diversion Program")</f>
        <v>0</v>
      </c>
    </row>
    <row r="383" spans="5:24" x14ac:dyDescent="0.35">
      <c r="E383" s="3"/>
      <c r="G383" s="24"/>
      <c r="O383" s="8"/>
      <c r="P383" s="309" t="s">
        <v>143</v>
      </c>
      <c r="Q383" s="312"/>
      <c r="R383" s="308">
        <f>COUNTIF(P3:P352,"Unable to pay fines, fees, costs")</f>
        <v>0</v>
      </c>
    </row>
    <row r="384" spans="5:24" x14ac:dyDescent="0.35">
      <c r="E384" s="3"/>
      <c r="G384" s="24"/>
      <c r="O384" s="8"/>
      <c r="P384" s="141" t="s">
        <v>144</v>
      </c>
      <c r="Q384" s="311"/>
      <c r="R384" s="308">
        <f>COUNTIF(P3:P352,"Needed treatment resources not available (please specify)")</f>
        <v>0</v>
      </c>
    </row>
    <row r="385" spans="5:18" x14ac:dyDescent="0.35">
      <c r="E385" s="3"/>
      <c r="G385" s="24"/>
      <c r="O385" s="8"/>
      <c r="P385" s="306" t="s">
        <v>145</v>
      </c>
      <c r="Q385" s="311"/>
      <c r="R385" s="308">
        <f>COUNTIF(P3:P352,"Lack of Housing Resources")</f>
        <v>0</v>
      </c>
    </row>
    <row r="386" spans="5:18" x14ac:dyDescent="0.35">
      <c r="E386" s="3"/>
      <c r="G386" s="24"/>
      <c r="O386" s="8"/>
      <c r="P386" s="306" t="s">
        <v>41</v>
      </c>
      <c r="Q386" s="311"/>
      <c r="R386" s="308">
        <f>COUNTIF(P3:P352,"No Transportation")</f>
        <v>0</v>
      </c>
    </row>
    <row r="387" spans="5:18" ht="15" thickBot="1" x14ac:dyDescent="0.4">
      <c r="E387" s="3"/>
      <c r="G387" s="24"/>
      <c r="O387" s="8"/>
      <c r="P387" s="313" t="s">
        <v>146</v>
      </c>
      <c r="Q387" s="314"/>
      <c r="R387" s="315">
        <f>COUNTIF(P3:P352,"Other (please specify)")</f>
        <v>0</v>
      </c>
    </row>
    <row r="388" spans="5:18" ht="15" thickTop="1" x14ac:dyDescent="0.35">
      <c r="E388" s="3"/>
      <c r="G388" s="24"/>
      <c r="O388" s="8"/>
      <c r="P388" s="321" t="s">
        <v>13</v>
      </c>
      <c r="Q388" s="117"/>
      <c r="R388" s="295">
        <f>SUM(R357:R387)</f>
        <v>0</v>
      </c>
    </row>
    <row r="389" spans="5:18" x14ac:dyDescent="0.35">
      <c r="E389" s="3"/>
      <c r="G389" s="24"/>
      <c r="O389" s="8"/>
    </row>
    <row r="390" spans="5:18" x14ac:dyDescent="0.35">
      <c r="E390" s="3"/>
      <c r="G390" s="24"/>
    </row>
    <row r="391" spans="5:18" x14ac:dyDescent="0.35">
      <c r="E391" s="3"/>
      <c r="G391" s="24"/>
    </row>
    <row r="392" spans="5:18" x14ac:dyDescent="0.35">
      <c r="E392" s="3"/>
      <c r="G392" s="24"/>
    </row>
    <row r="393" spans="5:18" x14ac:dyDescent="0.35">
      <c r="E393" s="3"/>
      <c r="G393" s="24"/>
    </row>
    <row r="394" spans="5:18" x14ac:dyDescent="0.35">
      <c r="E394" s="3"/>
      <c r="G394" s="24"/>
    </row>
    <row r="395" spans="5:18" x14ac:dyDescent="0.35">
      <c r="E395" s="3"/>
      <c r="G395" s="24"/>
    </row>
    <row r="396" spans="5:18" x14ac:dyDescent="0.35">
      <c r="E396" s="3"/>
      <c r="G396" s="24"/>
    </row>
    <row r="397" spans="5:18" x14ac:dyDescent="0.35">
      <c r="E397" s="3"/>
      <c r="G397" s="24"/>
    </row>
    <row r="398" spans="5:18" x14ac:dyDescent="0.35">
      <c r="E398" s="3"/>
      <c r="G398" s="24"/>
    </row>
    <row r="399" spans="5:18" x14ac:dyDescent="0.35">
      <c r="E399" s="3"/>
      <c r="G399" s="24"/>
    </row>
    <row r="400" spans="5:18" x14ac:dyDescent="0.35">
      <c r="E400" s="3"/>
      <c r="G400" s="24"/>
    </row>
    <row r="401" spans="5:7" x14ac:dyDescent="0.35">
      <c r="E401" s="3"/>
      <c r="G401" s="24"/>
    </row>
    <row r="402" spans="5:7" x14ac:dyDescent="0.35">
      <c r="E402" s="3"/>
      <c r="G402" s="24"/>
    </row>
    <row r="403" spans="5:7" x14ac:dyDescent="0.35">
      <c r="E403" s="3"/>
      <c r="G403" s="24"/>
    </row>
    <row r="404" spans="5:7" x14ac:dyDescent="0.35">
      <c r="E404" s="3"/>
      <c r="G404" s="24"/>
    </row>
    <row r="405" spans="5:7" x14ac:dyDescent="0.35">
      <c r="E405" s="3"/>
      <c r="G405" s="24"/>
    </row>
    <row r="406" spans="5:7" x14ac:dyDescent="0.35">
      <c r="E406" s="3"/>
      <c r="G406" s="24"/>
    </row>
    <row r="407" spans="5:7" x14ac:dyDescent="0.35">
      <c r="E407" s="3"/>
      <c r="G407" s="24"/>
    </row>
    <row r="408" spans="5:7" x14ac:dyDescent="0.35">
      <c r="E408" s="3"/>
      <c r="G408" s="24"/>
    </row>
    <row r="409" spans="5:7" x14ac:dyDescent="0.35">
      <c r="G409" s="24"/>
    </row>
    <row r="410" spans="5:7" x14ac:dyDescent="0.35">
      <c r="G410" s="24"/>
    </row>
    <row r="411" spans="5:7" x14ac:dyDescent="0.35">
      <c r="G411" s="24"/>
    </row>
    <row r="412" spans="5:7" x14ac:dyDescent="0.35">
      <c r="G412" s="24"/>
    </row>
    <row r="413" spans="5:7" x14ac:dyDescent="0.35">
      <c r="G413" s="24"/>
    </row>
    <row r="414" spans="5:7" x14ac:dyDescent="0.35">
      <c r="G414" s="24"/>
    </row>
    <row r="415" spans="5:7" x14ac:dyDescent="0.35">
      <c r="G415" s="24"/>
    </row>
    <row r="416" spans="5:7" x14ac:dyDescent="0.35">
      <c r="G416" s="24"/>
    </row>
    <row r="417" spans="7:7" x14ac:dyDescent="0.35">
      <c r="G417" s="24"/>
    </row>
    <row r="418" spans="7:7" x14ac:dyDescent="0.35">
      <c r="G418" s="24"/>
    </row>
    <row r="419" spans="7:7" x14ac:dyDescent="0.35">
      <c r="G419" s="24"/>
    </row>
    <row r="420" spans="7:7" x14ac:dyDescent="0.35">
      <c r="G420" s="24"/>
    </row>
    <row r="421" spans="7:7" x14ac:dyDescent="0.35">
      <c r="G421" s="24"/>
    </row>
  </sheetData>
  <sheetProtection selectLockedCells="1"/>
  <sortState ref="D360:H362">
    <sortCondition descending="1" ref="D360:D362"/>
  </sortState>
  <mergeCells count="5">
    <mergeCell ref="C1:E1"/>
    <mergeCell ref="J1:N1"/>
    <mergeCell ref="O1:X1"/>
    <mergeCell ref="Z2:AA2"/>
    <mergeCell ref="F1:I1"/>
  </mergeCells>
  <conditionalFormatting sqref="E3:E352">
    <cfRule type="cellIs" dxfId="32" priority="97" operator="between">
      <formula>1</formula>
      <formula>17</formula>
    </cfRule>
  </conditionalFormatting>
  <conditionalFormatting sqref="M3:M352">
    <cfRule type="expression" dxfId="31" priority="49">
      <formula>J3&lt;&gt;"Other"</formula>
    </cfRule>
  </conditionalFormatting>
  <conditionalFormatting sqref="O3:O352 S3:S352">
    <cfRule type="cellIs" dxfId="30" priority="94" operator="equal">
      <formula>"Yes"</formula>
    </cfRule>
  </conditionalFormatting>
  <conditionalFormatting sqref="P3:P352">
    <cfRule type="expression" dxfId="29" priority="89">
      <formula>O3="Yes"</formula>
    </cfRule>
  </conditionalFormatting>
  <conditionalFormatting sqref="R3:R352">
    <cfRule type="expression" dxfId="28" priority="86">
      <formula>O3="No"</formula>
    </cfRule>
  </conditionalFormatting>
  <conditionalFormatting sqref="S3:S352">
    <cfRule type="expression" dxfId="27" priority="63">
      <formula>O3="No"</formula>
    </cfRule>
  </conditionalFormatting>
  <conditionalFormatting sqref="U3:U352">
    <cfRule type="expression" dxfId="26" priority="26">
      <formula>"&lt;0"</formula>
    </cfRule>
  </conditionalFormatting>
  <conditionalFormatting sqref="T3:T352">
    <cfRule type="expression" dxfId="25" priority="100">
      <formula>O3="No"</formula>
    </cfRule>
    <cfRule type="expression" dxfId="24" priority="101">
      <formula>S3="n/a"</formula>
    </cfRule>
    <cfRule type="expression" dxfId="23" priority="102">
      <formula>S3="Yes"</formula>
    </cfRule>
  </conditionalFormatting>
  <conditionalFormatting sqref="U3:U352">
    <cfRule type="expression" priority="103">
      <formula>O3="No"</formula>
    </cfRule>
    <cfRule type="expression" dxfId="22" priority="104">
      <formula>S3="n/a"</formula>
    </cfRule>
    <cfRule type="expression" dxfId="21" priority="105">
      <formula>S3="Yes"</formula>
    </cfRule>
  </conditionalFormatting>
  <conditionalFormatting sqref="X3:X352">
    <cfRule type="expression" dxfId="20" priority="111">
      <formula>O3="No"</formula>
    </cfRule>
    <cfRule type="expression" dxfId="19" priority="112">
      <formula>S3="n/a"</formula>
    </cfRule>
    <cfRule type="expression" dxfId="18" priority="113">
      <formula>S3="No"</formula>
    </cfRule>
  </conditionalFormatting>
  <conditionalFormatting sqref="R3:R352">
    <cfRule type="expression" dxfId="17" priority="23">
      <formula>O3="Yes"</formula>
    </cfRule>
  </conditionalFormatting>
  <conditionalFormatting sqref="X3:X352">
    <cfRule type="expression" dxfId="16" priority="19">
      <formula>S3="Yes"</formula>
    </cfRule>
  </conditionalFormatting>
  <conditionalFormatting sqref="K3:K352">
    <cfRule type="expression" dxfId="15" priority="17">
      <formula>J3="Other"</formula>
    </cfRule>
  </conditionalFormatting>
  <conditionalFormatting sqref="J3:J352">
    <cfRule type="cellIs" dxfId="14" priority="14" operator="equal">
      <formula>"Other"</formula>
    </cfRule>
  </conditionalFormatting>
  <conditionalFormatting sqref="L3:L352">
    <cfRule type="cellIs" dxfId="13" priority="12" operator="equal">
      <formula>"Other"</formula>
    </cfRule>
    <cfRule type="cellIs" dxfId="12" priority="13" operator="equal">
      <formula>"""Other ----&gt;"""</formula>
    </cfRule>
  </conditionalFormatting>
  <conditionalFormatting sqref="Q3 Q21:Q352">
    <cfRule type="expression" dxfId="11" priority="11">
      <formula>O3="Yes"</formula>
    </cfRule>
  </conditionalFormatting>
  <conditionalFormatting sqref="Q4:Q20">
    <cfRule type="expression" dxfId="10" priority="8">
      <formula>O4="Yes"</formula>
    </cfRule>
  </conditionalFormatting>
  <conditionalFormatting sqref="V3:V352">
    <cfRule type="expression" dxfId="9" priority="106">
      <formula>S3=" "</formula>
    </cfRule>
    <cfRule type="expression" dxfId="8" priority="107">
      <formula>S3="Yes"</formula>
    </cfRule>
    <cfRule type="expression" dxfId="7" priority="108">
      <formula>O3="No"</formula>
    </cfRule>
    <cfRule type="expression" dxfId="6" priority="109">
      <formula>S3="n/a"</formula>
    </cfRule>
    <cfRule type="expression" dxfId="5" priority="110">
      <formula>S3="Yes"</formula>
    </cfRule>
  </conditionalFormatting>
  <conditionalFormatting sqref="W3:W352">
    <cfRule type="expression" dxfId="4" priority="1">
      <formula>S3=" "</formula>
    </cfRule>
    <cfRule type="expression" dxfId="3" priority="2">
      <formula>S3="Yes"</formula>
    </cfRule>
    <cfRule type="expression" dxfId="2" priority="3">
      <formula>O3="No"</formula>
    </cfRule>
    <cfRule type="expression" dxfId="1" priority="4">
      <formula>S3="n/a"</formula>
    </cfRule>
    <cfRule type="expression" dxfId="0" priority="5">
      <formula>S3="Yes"</formula>
    </cfRule>
  </conditionalFormatting>
  <dataValidations count="9">
    <dataValidation type="list" allowBlank="1" showInputMessage="1" showErrorMessage="1" sqref="J3:K352">
      <formula1>$AH$14:$AH$19</formula1>
    </dataValidation>
    <dataValidation type="list" allowBlank="1" showInputMessage="1" showErrorMessage="1" sqref="N3:N352">
      <formula1>$AH$22:$AH$23</formula1>
    </dataValidation>
    <dataValidation type="list" allowBlank="1" showInputMessage="1" showErrorMessage="1" sqref="O3:O352">
      <formula1>$AH$26:$AH$27</formula1>
    </dataValidation>
    <dataValidation type="list" allowBlank="1" showInputMessage="1" showErrorMessage="1" sqref="S3:S352">
      <formula1>$AH$30:$AH$31</formula1>
    </dataValidation>
    <dataValidation type="list" allowBlank="1" showInputMessage="1" showErrorMessage="1" sqref="G3:G352">
      <formula1>$AH$8:$AH$11</formula1>
    </dataValidation>
    <dataValidation type="list" allowBlank="1" showInputMessage="1" showErrorMessage="1" sqref="V3:V352">
      <formula1>$AI$34:$AI$47</formula1>
    </dataValidation>
    <dataValidation type="list" allowBlank="1" showInputMessage="1" showErrorMessage="1" sqref="P3:P352">
      <formula1>$AH$34:$AH$64</formula1>
    </dataValidation>
    <dataValidation type="list" allowBlank="1" showInputMessage="1" showErrorMessage="1" sqref="I3:I352">
      <formula1>$AI$8:$AI$11</formula1>
    </dataValidation>
    <dataValidation type="list" allowBlank="1" showInputMessage="1" showErrorMessage="1" sqref="F3:F353">
      <formula1>$AH$4:$AH$5</formula1>
    </dataValidation>
  </dataValidations>
  <pageMargins left="0" right="0" top="0.75" bottom="0.75" header="0.3" footer="0.3"/>
  <pageSetup scale="82" fitToWidth="2"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pageSetUpPr fitToPage="1"/>
  </sheetPr>
  <dimension ref="B27:I48"/>
  <sheetViews>
    <sheetView showGridLines="0" zoomScaleNormal="100" workbookViewId="0">
      <selection activeCell="C40" sqref="C40"/>
    </sheetView>
  </sheetViews>
  <sheetFormatPr defaultRowHeight="14.5" x14ac:dyDescent="0.35"/>
  <cols>
    <col min="1" max="1" width="3.7265625" customWidth="1"/>
    <col min="2" max="2" width="12.1796875" customWidth="1"/>
  </cols>
  <sheetData>
    <row r="27" spans="7:9" x14ac:dyDescent="0.35">
      <c r="G27" s="218" t="s">
        <v>97</v>
      </c>
      <c r="I27" s="281" t="s">
        <v>118</v>
      </c>
    </row>
    <row r="28" spans="7:9" x14ac:dyDescent="0.35">
      <c r="G28" s="26" t="s">
        <v>28</v>
      </c>
      <c r="I28" s="279">
        <f>MIN('Data Entry'!E3:E352)</f>
        <v>0</v>
      </c>
    </row>
    <row r="29" spans="7:9" x14ac:dyDescent="0.35">
      <c r="G29" s="27" t="s">
        <v>29</v>
      </c>
      <c r="H29" s="28"/>
      <c r="I29" s="280">
        <f>MAX('Data Entry'!E3:E352)</f>
        <v>0</v>
      </c>
    </row>
    <row r="30" spans="7:9" x14ac:dyDescent="0.35">
      <c r="G30" s="27" t="s">
        <v>119</v>
      </c>
      <c r="H30" s="28"/>
      <c r="I30" s="280" t="e">
        <f>AVERAGE('Data Entry'!E3:E352)</f>
        <v>#DIV/0!</v>
      </c>
    </row>
    <row r="31" spans="7:9" x14ac:dyDescent="0.35">
      <c r="G31" s="26" t="s">
        <v>120</v>
      </c>
      <c r="I31" s="279" t="e">
        <f>MEDIAN('Data Entry'!E3:E352)</f>
        <v>#NUM!</v>
      </c>
    </row>
    <row r="34" spans="2:7" x14ac:dyDescent="0.35">
      <c r="C34" s="218"/>
    </row>
    <row r="35" spans="2:7" x14ac:dyDescent="0.35">
      <c r="B35" s="391" t="s">
        <v>98</v>
      </c>
      <c r="C35" s="380"/>
      <c r="D35" s="381"/>
      <c r="E35" s="381"/>
      <c r="F35" s="381"/>
      <c r="G35" s="382"/>
    </row>
    <row r="36" spans="2:7" ht="29" x14ac:dyDescent="0.35">
      <c r="B36" s="383" t="s">
        <v>56</v>
      </c>
      <c r="C36" s="373" t="s">
        <v>92</v>
      </c>
      <c r="D36" s="374" t="s">
        <v>93</v>
      </c>
      <c r="E36" s="374" t="s">
        <v>94</v>
      </c>
      <c r="F36" s="375" t="s">
        <v>95</v>
      </c>
      <c r="G36" s="384" t="s">
        <v>13</v>
      </c>
    </row>
    <row r="37" spans="2:7" x14ac:dyDescent="0.35">
      <c r="B37" s="389" t="s">
        <v>16</v>
      </c>
      <c r="C37" s="376">
        <f>COUNTIF('Data Entry'!E3:E352,"&gt;0")-COUNTIF('Data Entry'!E3:E352,"&gt;24")</f>
        <v>0</v>
      </c>
      <c r="D37" s="376">
        <f>COUNTIF('Data Entry'!E3:E352,"&gt;24")-COUNTIF('Data Entry'!E3:E352,"&gt;34")</f>
        <v>0</v>
      </c>
      <c r="E37" s="376">
        <f>COUNTIF('Data Entry'!E3:E352,"&gt;34")-COUNTIF('Data Entry'!E3:E352,"&gt;60")</f>
        <v>0</v>
      </c>
      <c r="F37" s="376">
        <f>COUNTIF('Data Entry'!E3:E352,"&gt;60")</f>
        <v>0</v>
      </c>
      <c r="G37" s="385">
        <f>SUM(C37:F37)</f>
        <v>0</v>
      </c>
    </row>
    <row r="38" spans="2:7" x14ac:dyDescent="0.35">
      <c r="B38" s="389" t="s">
        <v>169</v>
      </c>
      <c r="C38" s="377" t="e">
        <f>C37/$G$37</f>
        <v>#DIV/0!</v>
      </c>
      <c r="D38" s="377" t="e">
        <f>D37/$G$37</f>
        <v>#DIV/0!</v>
      </c>
      <c r="E38" s="377" t="e">
        <f>E37/$G$37</f>
        <v>#DIV/0!</v>
      </c>
      <c r="F38" s="377" t="e">
        <f>F37/$G$37</f>
        <v>#DIV/0!</v>
      </c>
      <c r="G38" s="386" t="e">
        <f>SUM(C38:F38)</f>
        <v>#DIV/0!</v>
      </c>
    </row>
    <row r="39" spans="2:7" x14ac:dyDescent="0.35">
      <c r="B39" s="392" t="s">
        <v>96</v>
      </c>
      <c r="C39" s="378"/>
      <c r="D39" s="378"/>
      <c r="E39" s="378"/>
      <c r="F39" s="378"/>
      <c r="G39" s="387"/>
    </row>
    <row r="40" spans="2:7" x14ac:dyDescent="0.35">
      <c r="B40" s="390" t="s">
        <v>169</v>
      </c>
      <c r="C40" s="379">
        <v>0.33744626040671488</v>
      </c>
      <c r="D40" s="379">
        <v>0.34616486966016102</v>
      </c>
      <c r="E40" s="379">
        <v>0.30153029889449978</v>
      </c>
      <c r="F40" s="379">
        <v>1.4858571038624266E-2</v>
      </c>
      <c r="G40" s="388">
        <f>SUM(C40:F40)</f>
        <v>1</v>
      </c>
    </row>
    <row r="43" spans="2:7" x14ac:dyDescent="0.35">
      <c r="C43" s="403" t="s">
        <v>160</v>
      </c>
      <c r="D43" s="403"/>
      <c r="E43" s="403"/>
      <c r="F43" s="403"/>
    </row>
    <row r="44" spans="2:7" x14ac:dyDescent="0.35">
      <c r="C44" s="403"/>
      <c r="D44" s="403"/>
      <c r="E44" s="403"/>
      <c r="F44" s="403"/>
    </row>
    <row r="45" spans="2:7" x14ac:dyDescent="0.35">
      <c r="C45" s="403"/>
      <c r="D45" s="403"/>
      <c r="E45" s="403"/>
      <c r="F45" s="403"/>
    </row>
    <row r="46" spans="2:7" x14ac:dyDescent="0.35">
      <c r="C46" s="403"/>
      <c r="D46" s="403"/>
      <c r="E46" s="403"/>
      <c r="F46" s="403"/>
    </row>
    <row r="47" spans="2:7" x14ac:dyDescent="0.35">
      <c r="C47" s="403"/>
      <c r="D47" s="403"/>
      <c r="E47" s="403"/>
      <c r="F47" s="403"/>
    </row>
    <row r="48" spans="2:7" x14ac:dyDescent="0.35">
      <c r="C48" s="403"/>
      <c r="D48" s="403"/>
      <c r="E48" s="403"/>
      <c r="F48" s="403"/>
    </row>
  </sheetData>
  <sheetProtection algorithmName="SHA-512" hashValue="Lx57j17M0Ba3jRjj9U3I9KBw9u4Blimhh81jmW2rIlWftgfR3MhnOA3iZFPhXujwJS/Z4fy63A+XlWKG8ytj/A==" saltValue="kGfJhRWcMEEzT8VIZRi2uA==" spinCount="100000" sheet="1" objects="1" scenarios="1" selectLockedCells="1"/>
  <mergeCells count="1">
    <mergeCell ref="C43:F48"/>
  </mergeCells>
  <printOptions horizontalCentered="1"/>
  <pageMargins left="0.12" right="0.12" top="0.75" bottom="0.75" header="0.3" footer="0.3"/>
  <pageSetup orientation="portrait" r:id="rId1"/>
  <headerFooter>
    <oddHeader>&amp;C&amp;"-,Bold"&amp;14Age (at Admission) Groups</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59999389629810485"/>
    <pageSetUpPr fitToPage="1"/>
  </sheetPr>
  <dimension ref="B2:N69"/>
  <sheetViews>
    <sheetView showGridLines="0" zoomScaleNormal="100" workbookViewId="0">
      <selection activeCell="M52" sqref="M52"/>
    </sheetView>
  </sheetViews>
  <sheetFormatPr defaultRowHeight="14.5" x14ac:dyDescent="0.35"/>
  <cols>
    <col min="6" max="6" width="10.453125" bestFit="1" customWidth="1"/>
    <col min="12" max="12" width="3.1796875" customWidth="1"/>
  </cols>
  <sheetData>
    <row r="2" ht="15" customHeight="1" x14ac:dyDescent="0.35"/>
    <row r="3" ht="15" customHeight="1" x14ac:dyDescent="0.35"/>
    <row r="4" ht="15" customHeight="1" x14ac:dyDescent="0.35"/>
    <row r="5" ht="15" customHeight="1" x14ac:dyDescent="0.35"/>
    <row r="6" ht="15" customHeight="1" x14ac:dyDescent="0.35"/>
    <row r="7" ht="15" customHeight="1" x14ac:dyDescent="0.35"/>
    <row r="8" ht="15" customHeight="1" x14ac:dyDescent="0.35"/>
    <row r="9" ht="15" customHeight="1" x14ac:dyDescent="0.35"/>
    <row r="10" ht="15" customHeight="1" x14ac:dyDescent="0.35"/>
    <row r="11" ht="15" customHeight="1" x14ac:dyDescent="0.35"/>
    <row r="12" ht="15" customHeight="1" x14ac:dyDescent="0.35"/>
    <row r="13" ht="15" customHeight="1" x14ac:dyDescent="0.35"/>
    <row r="14" ht="15" customHeight="1" x14ac:dyDescent="0.35"/>
    <row r="15" ht="15" customHeight="1" x14ac:dyDescent="0.35"/>
    <row r="16" ht="15" customHeight="1" x14ac:dyDescent="0.35"/>
    <row r="17" spans="13:14" ht="15" customHeight="1" x14ac:dyDescent="0.35"/>
    <row r="18" spans="13:14" ht="15" customHeight="1" x14ac:dyDescent="0.35"/>
    <row r="19" spans="13:14" ht="15" customHeight="1" x14ac:dyDescent="0.35"/>
    <row r="20" spans="13:14" ht="15" customHeight="1" x14ac:dyDescent="0.35"/>
    <row r="21" spans="13:14" ht="15" customHeight="1" x14ac:dyDescent="0.35"/>
    <row r="22" spans="13:14" ht="15" customHeight="1" x14ac:dyDescent="0.35"/>
    <row r="23" spans="13:14" ht="15" customHeight="1" x14ac:dyDescent="0.35"/>
    <row r="24" spans="13:14" ht="15" customHeight="1" x14ac:dyDescent="0.35"/>
    <row r="25" spans="13:14" ht="15" customHeight="1" x14ac:dyDescent="0.35"/>
    <row r="26" spans="13:14" ht="15" customHeight="1" x14ac:dyDescent="0.35">
      <c r="N26" s="301"/>
    </row>
    <row r="27" spans="13:14" ht="15" customHeight="1" x14ac:dyDescent="0.35">
      <c r="M27" s="301"/>
      <c r="N27" s="301"/>
    </row>
    <row r="28" spans="13:14" ht="15" customHeight="1" x14ac:dyDescent="0.35">
      <c r="M28" s="301"/>
      <c r="N28" s="301"/>
    </row>
    <row r="29" spans="13:14" ht="15" customHeight="1" x14ac:dyDescent="0.35">
      <c r="M29" s="301"/>
      <c r="N29" s="301"/>
    </row>
    <row r="30" spans="13:14" ht="15" customHeight="1" x14ac:dyDescent="0.35">
      <c r="M30" s="301"/>
      <c r="N30" s="301"/>
    </row>
    <row r="31" spans="13:14" ht="15" customHeight="1" x14ac:dyDescent="0.35">
      <c r="M31" s="301"/>
      <c r="N31" s="301"/>
    </row>
    <row r="32" spans="13:14" ht="15" customHeight="1" x14ac:dyDescent="0.35">
      <c r="M32" s="301"/>
      <c r="N32" s="301"/>
    </row>
    <row r="33" spans="2:14" ht="15" customHeight="1" x14ac:dyDescent="0.35">
      <c r="M33" s="301"/>
      <c r="N33" s="301"/>
    </row>
    <row r="34" spans="2:14" ht="15" customHeight="1" x14ac:dyDescent="0.35">
      <c r="M34" s="301"/>
      <c r="N34" s="301"/>
    </row>
    <row r="35" spans="2:14" ht="15" customHeight="1" x14ac:dyDescent="0.35">
      <c r="M35" s="301"/>
      <c r="N35" s="301"/>
    </row>
    <row r="36" spans="2:14" ht="15" customHeight="1" x14ac:dyDescent="0.35">
      <c r="M36" s="301"/>
      <c r="N36" s="301"/>
    </row>
    <row r="37" spans="2:14" ht="15" customHeight="1" x14ac:dyDescent="0.35"/>
    <row r="38" spans="2:14" ht="15" customHeight="1" x14ac:dyDescent="0.35"/>
    <row r="39" spans="2:14" ht="15" customHeight="1" x14ac:dyDescent="0.35"/>
    <row r="40" spans="2:14" ht="15" customHeight="1" x14ac:dyDescent="0.35"/>
    <row r="41" spans="2:14" x14ac:dyDescent="0.35">
      <c r="M41" s="404" t="s">
        <v>86</v>
      </c>
      <c r="N41" s="404"/>
    </row>
    <row r="42" spans="2:14" x14ac:dyDescent="0.35">
      <c r="M42" s="404"/>
      <c r="N42" s="404"/>
    </row>
    <row r="43" spans="2:14" x14ac:dyDescent="0.35">
      <c r="M43" s="404"/>
      <c r="N43" s="404"/>
    </row>
    <row r="44" spans="2:14" x14ac:dyDescent="0.35">
      <c r="M44" s="404"/>
      <c r="N44" s="404"/>
    </row>
    <row r="45" spans="2:14" ht="43.5" x14ac:dyDescent="0.35">
      <c r="B45" s="140" t="s">
        <v>22</v>
      </c>
      <c r="C45" s="141"/>
      <c r="D45" s="142"/>
      <c r="E45" s="237" t="s">
        <v>113</v>
      </c>
      <c r="F45" s="234" t="s">
        <v>68</v>
      </c>
      <c r="G45" s="144" t="s">
        <v>66</v>
      </c>
      <c r="H45" s="146" t="s">
        <v>67</v>
      </c>
    </row>
    <row r="46" spans="2:14" ht="36" customHeight="1" x14ac:dyDescent="0.35">
      <c r="B46" s="414" t="s">
        <v>7</v>
      </c>
      <c r="C46" s="415"/>
      <c r="D46" s="416"/>
      <c r="E46" s="238" t="e">
        <f>F46/F54</f>
        <v>#DIV/0!</v>
      </c>
      <c r="F46" s="242">
        <f>COUNTIF('Data Entry'!H3:H352,"Male")</f>
        <v>0</v>
      </c>
      <c r="G46" s="133">
        <f>COUNTIF('Data Entry'!F3:F352,"Male")</f>
        <v>0</v>
      </c>
      <c r="H46" s="147">
        <f>COUNTIF('Data Entry'!G3:G352,"Male")</f>
        <v>0</v>
      </c>
    </row>
    <row r="47" spans="2:14" ht="36" customHeight="1" thickBot="1" x14ac:dyDescent="0.4">
      <c r="B47" s="411" t="s">
        <v>8</v>
      </c>
      <c r="C47" s="412"/>
      <c r="D47" s="413"/>
      <c r="E47" s="245" t="e">
        <f>F47/F54</f>
        <v>#DIV/0!</v>
      </c>
      <c r="F47" s="243">
        <f>COUNTIF('Data Entry'!H3:H352,"Female")</f>
        <v>0</v>
      </c>
      <c r="G47" s="145">
        <f>COUNTIF('Data Entry'!F3:F352,"Female")</f>
        <v>0</v>
      </c>
      <c r="H47" s="148">
        <f>COUNTIF('Data Entry'!G3:G352,"Female")</f>
        <v>0</v>
      </c>
    </row>
    <row r="48" spans="2:14" ht="36" customHeight="1" thickTop="1" x14ac:dyDescent="0.35">
      <c r="B48" s="411" t="s">
        <v>69</v>
      </c>
      <c r="C48" s="412"/>
      <c r="D48" s="413"/>
      <c r="E48" s="239"/>
      <c r="F48" s="235"/>
      <c r="G48" s="139"/>
      <c r="H48" s="149">
        <f>COUNTIF('Data Entry'!G3:G352,"Sometimes M, Sometimes F")</f>
        <v>0</v>
      </c>
    </row>
    <row r="49" spans="2:8" ht="36" customHeight="1" thickBot="1" x14ac:dyDescent="0.4">
      <c r="B49" s="411" t="s">
        <v>112</v>
      </c>
      <c r="C49" s="412"/>
      <c r="D49" s="413"/>
      <c r="E49" s="240"/>
      <c r="F49" s="236"/>
      <c r="G49" s="139"/>
      <c r="H49" s="150">
        <f>COUNTIF('Data Entry'!G3:G352,"Other than M or F")</f>
        <v>0</v>
      </c>
    </row>
    <row r="50" spans="2:8" ht="36" customHeight="1" thickTop="1" x14ac:dyDescent="0.35">
      <c r="B50" s="411" t="s">
        <v>70</v>
      </c>
      <c r="C50" s="418"/>
      <c r="D50" s="419"/>
      <c r="E50" s="238" t="e">
        <f>F50/F54</f>
        <v>#DIV/0!</v>
      </c>
      <c r="F50" s="243">
        <f>COUNTIF('Data Entry'!H3:H352,"Transgender Female")</f>
        <v>0</v>
      </c>
      <c r="G50" s="233"/>
      <c r="H50" s="138"/>
    </row>
    <row r="51" spans="2:8" ht="36" customHeight="1" x14ac:dyDescent="0.35">
      <c r="B51" s="420" t="s">
        <v>71</v>
      </c>
      <c r="C51" s="421"/>
      <c r="D51" s="422"/>
      <c r="E51" s="245" t="e">
        <f>F51/F54</f>
        <v>#DIV/0!</v>
      </c>
      <c r="F51" s="242">
        <f>COUNTIF('Data Entry'!H3:H352,"Transgender Male")</f>
        <v>0</v>
      </c>
      <c r="G51" s="233"/>
      <c r="H51" s="151"/>
    </row>
    <row r="52" spans="2:8" ht="36" customHeight="1" x14ac:dyDescent="0.35">
      <c r="B52" s="417" t="s">
        <v>49</v>
      </c>
      <c r="C52" s="418"/>
      <c r="D52" s="419"/>
      <c r="E52" s="245" t="e">
        <f>F52/F54</f>
        <v>#DIV/0!</v>
      </c>
      <c r="F52" s="243">
        <f>COUNTIF('Data Entry'!H3:H352,"Gender Fluid")</f>
        <v>0</v>
      </c>
      <c r="G52" s="138"/>
      <c r="H52" s="138"/>
    </row>
    <row r="53" spans="2:8" ht="36" customHeight="1" thickBot="1" x14ac:dyDescent="0.4">
      <c r="B53" s="152" t="s">
        <v>65</v>
      </c>
      <c r="C53" s="153"/>
      <c r="D53" s="154"/>
      <c r="E53" s="238" t="e">
        <f>F53/F54</f>
        <v>#DIV/0!</v>
      </c>
      <c r="F53" s="243">
        <f>COUNTIF('Data Entry'!H3:H352,"Agender")</f>
        <v>0</v>
      </c>
      <c r="G53" s="138"/>
      <c r="H53" s="138"/>
    </row>
    <row r="54" spans="2:8" ht="36" customHeight="1" thickTop="1" x14ac:dyDescent="0.35">
      <c r="B54" s="405" t="s">
        <v>13</v>
      </c>
      <c r="C54" s="406"/>
      <c r="D54" s="407"/>
      <c r="E54" s="241" t="e">
        <f>SUM(E46:E53)</f>
        <v>#DIV/0!</v>
      </c>
      <c r="F54" s="244">
        <f>SUM(F46:F53)</f>
        <v>0</v>
      </c>
      <c r="G54" s="134">
        <f>SUM(G46:G47)</f>
        <v>0</v>
      </c>
      <c r="H54" s="127">
        <f>SUM(H46:H53)</f>
        <v>0</v>
      </c>
    </row>
    <row r="57" spans="2:8" x14ac:dyDescent="0.35">
      <c r="B57" s="210"/>
      <c r="C57" s="408" t="s">
        <v>85</v>
      </c>
      <c r="D57" s="408"/>
      <c r="E57" s="409" t="s">
        <v>27</v>
      </c>
      <c r="F57" s="410"/>
    </row>
    <row r="58" spans="2:8" ht="58" x14ac:dyDescent="0.35">
      <c r="B58" s="211" t="s">
        <v>61</v>
      </c>
      <c r="C58" s="126" t="s">
        <v>16</v>
      </c>
      <c r="D58" s="203" t="s">
        <v>82</v>
      </c>
      <c r="E58" s="212" t="s">
        <v>16</v>
      </c>
      <c r="F58" s="186" t="s">
        <v>81</v>
      </c>
    </row>
    <row r="59" spans="2:8" ht="15" customHeight="1" x14ac:dyDescent="0.35">
      <c r="B59" s="208" t="s">
        <v>7</v>
      </c>
      <c r="C59" s="209">
        <v>1128974</v>
      </c>
      <c r="D59" s="247">
        <f>C59/C61</f>
        <v>0.77986829662203561</v>
      </c>
      <c r="E59" s="213">
        <f>Gender!G46</f>
        <v>0</v>
      </c>
      <c r="F59" s="246" t="e">
        <f>E59/E61</f>
        <v>#DIV/0!</v>
      </c>
    </row>
    <row r="60" spans="2:8" ht="15" thickBot="1" x14ac:dyDescent="0.4">
      <c r="B60" s="135" t="s">
        <v>8</v>
      </c>
      <c r="C60" s="206">
        <v>318673</v>
      </c>
      <c r="D60" s="248">
        <f>C60/C61</f>
        <v>0.22013170337796437</v>
      </c>
      <c r="E60" s="214">
        <f>Gender!G47</f>
        <v>0</v>
      </c>
      <c r="F60" s="227" t="e">
        <f>E60/E61</f>
        <v>#DIV/0!</v>
      </c>
    </row>
    <row r="61" spans="2:8" ht="15" thickTop="1" x14ac:dyDescent="0.35">
      <c r="B61" s="136" t="s">
        <v>13</v>
      </c>
      <c r="C61" s="207">
        <f>SUM(C59:C60)</f>
        <v>1447647</v>
      </c>
      <c r="D61" s="249">
        <f>SUM(D59:D60)</f>
        <v>1</v>
      </c>
      <c r="E61" s="215">
        <f>SUM(E59:E60)</f>
        <v>0</v>
      </c>
      <c r="F61" s="228" t="e">
        <f>SUM(F59:F60)</f>
        <v>#DIV/0!</v>
      </c>
    </row>
    <row r="62" spans="2:8" ht="15" customHeight="1" x14ac:dyDescent="0.35"/>
    <row r="64" spans="2:8" x14ac:dyDescent="0.35">
      <c r="B64" s="403" t="s">
        <v>161</v>
      </c>
      <c r="C64" s="403"/>
      <c r="D64" s="403"/>
      <c r="E64" s="403"/>
    </row>
    <row r="65" spans="2:5" x14ac:dyDescent="0.35">
      <c r="B65" s="403"/>
      <c r="C65" s="403"/>
      <c r="D65" s="403"/>
      <c r="E65" s="403"/>
    </row>
    <row r="66" spans="2:5" x14ac:dyDescent="0.35">
      <c r="B66" s="403"/>
      <c r="C66" s="403"/>
      <c r="D66" s="403"/>
      <c r="E66" s="403"/>
    </row>
    <row r="67" spans="2:5" x14ac:dyDescent="0.35">
      <c r="B67" s="403"/>
      <c r="C67" s="403"/>
      <c r="D67" s="403"/>
      <c r="E67" s="403"/>
    </row>
    <row r="68" spans="2:5" x14ac:dyDescent="0.35">
      <c r="B68" s="403"/>
      <c r="C68" s="403"/>
      <c r="D68" s="403"/>
      <c r="E68" s="403"/>
    </row>
    <row r="69" spans="2:5" x14ac:dyDescent="0.35">
      <c r="B69" s="403"/>
      <c r="C69" s="403"/>
      <c r="D69" s="403"/>
      <c r="E69" s="403"/>
    </row>
  </sheetData>
  <sheetProtection selectLockedCells="1"/>
  <mergeCells count="12">
    <mergeCell ref="M41:N44"/>
    <mergeCell ref="B64:E69"/>
    <mergeCell ref="B54:D54"/>
    <mergeCell ref="C57:D57"/>
    <mergeCell ref="E57:F57"/>
    <mergeCell ref="B48:D48"/>
    <mergeCell ref="B46:D46"/>
    <mergeCell ref="B47:D47"/>
    <mergeCell ref="B49:D49"/>
    <mergeCell ref="B52:D52"/>
    <mergeCell ref="B50:D50"/>
    <mergeCell ref="B51:D51"/>
  </mergeCells>
  <printOptions horizontalCentered="1"/>
  <pageMargins left="0.12" right="0.12" top="0.75" bottom="0.75" header="0.3" footer="0.3"/>
  <pageSetup scale="72" orientation="landscape" r:id="rId1"/>
  <headerFooter>
    <oddHeader>&amp;C&amp;"-,Bold"&amp;14&amp;K000000Sex at Birth and Gender Identity</oddHeader>
  </headerFooter>
  <ignoredErrors>
    <ignoredError sqref="E59:E60 G54" formula="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39997558519241921"/>
    <pageSetUpPr fitToPage="1"/>
  </sheetPr>
  <dimension ref="B35:L53"/>
  <sheetViews>
    <sheetView showGridLines="0" zoomScaleNormal="100" workbookViewId="0">
      <selection activeCell="N43" sqref="N43"/>
    </sheetView>
  </sheetViews>
  <sheetFormatPr defaultRowHeight="14.5" x14ac:dyDescent="0.35"/>
  <sheetData>
    <row r="35" spans="2:12" x14ac:dyDescent="0.35">
      <c r="B35" s="430" t="s">
        <v>110</v>
      </c>
      <c r="C35" s="431"/>
      <c r="D35" s="431"/>
      <c r="E35" s="432"/>
      <c r="F35" s="363" t="s">
        <v>19</v>
      </c>
      <c r="G35" s="143" t="s">
        <v>20</v>
      </c>
    </row>
    <row r="36" spans="2:12" ht="30" customHeight="1" x14ac:dyDescent="0.35">
      <c r="B36" s="435" t="s">
        <v>15</v>
      </c>
      <c r="C36" s="436"/>
      <c r="D36" s="436"/>
      <c r="E36" s="437"/>
      <c r="F36" s="89">
        <f>COUNTIF('Data Entry'!L3:L352,"White or Caucasian")</f>
        <v>0</v>
      </c>
      <c r="G36" s="225" t="e">
        <f t="shared" ref="G36:G42" si="0">F36/$F$43</f>
        <v>#DIV/0!</v>
      </c>
    </row>
    <row r="37" spans="2:12" ht="30" customHeight="1" x14ac:dyDescent="0.35">
      <c r="B37" s="424" t="s">
        <v>10</v>
      </c>
      <c r="C37" s="425"/>
      <c r="D37" s="425"/>
      <c r="E37" s="438"/>
      <c r="F37" s="90">
        <f>COUNTIF('Data Entry'!L3:L352,"Black or African-American")</f>
        <v>0</v>
      </c>
      <c r="G37" s="226" t="e">
        <f t="shared" si="0"/>
        <v>#DIV/0!</v>
      </c>
    </row>
    <row r="38" spans="2:12" ht="30" customHeight="1" x14ac:dyDescent="0.35">
      <c r="B38" s="424" t="s">
        <v>26</v>
      </c>
      <c r="C38" s="425"/>
      <c r="D38" s="425"/>
      <c r="E38" s="438"/>
      <c r="F38" s="89">
        <f>COUNTIF('Data Entry'!L3:L352,"American Indian or Alaska Native")</f>
        <v>0</v>
      </c>
      <c r="G38" s="225" t="e">
        <f t="shared" si="0"/>
        <v>#DIV/0!</v>
      </c>
    </row>
    <row r="39" spans="2:12" ht="30" customHeight="1" x14ac:dyDescent="0.35">
      <c r="B39" s="424" t="s">
        <v>5</v>
      </c>
      <c r="C39" s="425"/>
      <c r="D39" s="425"/>
      <c r="E39" s="438"/>
      <c r="F39" s="90">
        <f>COUNTIF('Data Entry'!L3:L352,"Asian")</f>
        <v>0</v>
      </c>
      <c r="G39" s="226" t="e">
        <f t="shared" si="0"/>
        <v>#DIV/0!</v>
      </c>
    </row>
    <row r="40" spans="2:12" ht="30" customHeight="1" x14ac:dyDescent="0.35">
      <c r="B40" s="424" t="s">
        <v>25</v>
      </c>
      <c r="C40" s="425"/>
      <c r="D40" s="425"/>
      <c r="E40" s="438"/>
      <c r="F40" s="90">
        <f>COUNTIF('Data Entry'!L3:L352,"Pacific Islander")</f>
        <v>0</v>
      </c>
      <c r="G40" s="226" t="e">
        <f t="shared" si="0"/>
        <v>#DIV/0!</v>
      </c>
    </row>
    <row r="41" spans="2:12" ht="30" customHeight="1" x14ac:dyDescent="0.35">
      <c r="B41" s="221" t="s">
        <v>111</v>
      </c>
      <c r="C41" s="222"/>
      <c r="D41" s="222"/>
      <c r="E41" s="223"/>
      <c r="F41" s="90">
        <f>COUNTIF('Data Entry'!L3:L352,"Blended Race")</f>
        <v>0</v>
      </c>
      <c r="G41" s="226" t="e">
        <f t="shared" si="0"/>
        <v>#DIV/0!</v>
      </c>
    </row>
    <row r="42" spans="2:12" ht="30" customHeight="1" thickBot="1" x14ac:dyDescent="0.4">
      <c r="B42" s="426" t="s">
        <v>14</v>
      </c>
      <c r="C42" s="427"/>
      <c r="D42" s="427"/>
      <c r="E42" s="439"/>
      <c r="F42" s="91">
        <f>COUNTIF('Data Entry'!L3:L352,"Other")</f>
        <v>0</v>
      </c>
      <c r="G42" s="227" t="e">
        <f t="shared" si="0"/>
        <v>#DIV/0!</v>
      </c>
    </row>
    <row r="43" spans="2:12" ht="30" customHeight="1" thickTop="1" x14ac:dyDescent="0.35">
      <c r="B43" s="405" t="s">
        <v>13</v>
      </c>
      <c r="C43" s="406"/>
      <c r="D43" s="406"/>
      <c r="E43" s="407"/>
      <c r="F43" s="155">
        <f>SUM(F36:F42)</f>
        <v>0</v>
      </c>
      <c r="G43" s="228" t="e">
        <f>SUM(G36:G42)</f>
        <v>#DIV/0!</v>
      </c>
    </row>
    <row r="44" spans="2:12" ht="30" customHeight="1" x14ac:dyDescent="0.35">
      <c r="B44" s="156"/>
      <c r="C44" s="156"/>
      <c r="D44" s="156"/>
      <c r="E44" s="156"/>
      <c r="F44" s="157"/>
      <c r="G44" s="158"/>
    </row>
    <row r="45" spans="2:12" ht="29" x14ac:dyDescent="0.35">
      <c r="B45" s="204" t="s">
        <v>72</v>
      </c>
      <c r="C45" s="428" t="s">
        <v>73</v>
      </c>
      <c r="D45" s="428"/>
      <c r="E45" s="428"/>
      <c r="F45" s="429"/>
      <c r="G45" s="143" t="s">
        <v>20</v>
      </c>
    </row>
    <row r="46" spans="2:12" ht="30" customHeight="1" x14ac:dyDescent="0.35">
      <c r="B46" s="433" t="s">
        <v>15</v>
      </c>
      <c r="C46" s="434"/>
      <c r="D46" s="434"/>
      <c r="E46" s="434"/>
      <c r="F46" s="159"/>
      <c r="G46" s="229">
        <v>0.70199999999999996</v>
      </c>
    </row>
    <row r="47" spans="2:12" ht="30" customHeight="1" x14ac:dyDescent="0.35">
      <c r="B47" s="424" t="s">
        <v>10</v>
      </c>
      <c r="C47" s="425"/>
      <c r="D47" s="425"/>
      <c r="E47" s="425"/>
      <c r="F47" s="160"/>
      <c r="G47" s="230">
        <v>0.26200000000000001</v>
      </c>
    </row>
    <row r="48" spans="2:12" ht="30" customHeight="1" x14ac:dyDescent="0.35">
      <c r="B48" s="424" t="s">
        <v>11</v>
      </c>
      <c r="C48" s="425"/>
      <c r="D48" s="425"/>
      <c r="E48" s="425"/>
      <c r="F48" s="161"/>
      <c r="G48" s="229">
        <v>2.1000000000000001E-2</v>
      </c>
      <c r="I48" s="423" t="s">
        <v>87</v>
      </c>
      <c r="J48" s="423"/>
      <c r="K48" s="423"/>
      <c r="L48" s="423"/>
    </row>
    <row r="49" spans="2:12" ht="30" customHeight="1" x14ac:dyDescent="0.35">
      <c r="B49" s="424" t="s">
        <v>5</v>
      </c>
      <c r="C49" s="425"/>
      <c r="D49" s="425"/>
      <c r="E49" s="425"/>
      <c r="F49" s="160"/>
      <c r="G49" s="230">
        <v>1.2E-2</v>
      </c>
      <c r="I49" s="423"/>
      <c r="J49" s="423"/>
      <c r="K49" s="423"/>
      <c r="L49" s="423"/>
    </row>
    <row r="50" spans="2:12" ht="30" customHeight="1" x14ac:dyDescent="0.35">
      <c r="B50" s="424" t="s">
        <v>12</v>
      </c>
      <c r="C50" s="425"/>
      <c r="D50" s="425"/>
      <c r="E50" s="425"/>
      <c r="F50" s="160"/>
      <c r="G50" s="230">
        <v>3.0000000000000001E-3</v>
      </c>
      <c r="I50" s="423"/>
      <c r="J50" s="423"/>
      <c r="K50" s="423"/>
      <c r="L50" s="423"/>
    </row>
    <row r="51" spans="2:12" ht="30" customHeight="1" x14ac:dyDescent="0.35">
      <c r="B51" s="424" t="s">
        <v>109</v>
      </c>
      <c r="C51" s="425"/>
      <c r="D51" s="222"/>
      <c r="E51" s="222"/>
      <c r="F51" s="224"/>
      <c r="G51" s="231" t="s">
        <v>23</v>
      </c>
    </row>
    <row r="52" spans="2:12" ht="30" customHeight="1" thickBot="1" x14ac:dyDescent="0.4">
      <c r="B52" s="426" t="s">
        <v>14</v>
      </c>
      <c r="C52" s="427"/>
      <c r="D52" s="427"/>
      <c r="E52" s="427"/>
      <c r="F52" s="162"/>
      <c r="G52" s="232">
        <v>0</v>
      </c>
    </row>
    <row r="53" spans="2:12" ht="30" customHeight="1" thickTop="1" x14ac:dyDescent="0.35">
      <c r="B53" s="405" t="s">
        <v>13</v>
      </c>
      <c r="C53" s="406"/>
      <c r="D53" s="406"/>
      <c r="E53" s="406"/>
      <c r="F53" s="163"/>
      <c r="G53" s="228">
        <f>SUM(G46:G52)</f>
        <v>1</v>
      </c>
    </row>
  </sheetData>
  <sheetProtection selectLockedCells="1"/>
  <mergeCells count="18">
    <mergeCell ref="B43:E43"/>
    <mergeCell ref="B35:E35"/>
    <mergeCell ref="B46:E46"/>
    <mergeCell ref="B47:E47"/>
    <mergeCell ref="B48:E48"/>
    <mergeCell ref="B36:E36"/>
    <mergeCell ref="B37:E37"/>
    <mergeCell ref="B38:E38"/>
    <mergeCell ref="B39:E39"/>
    <mergeCell ref="B40:E40"/>
    <mergeCell ref="B42:E42"/>
    <mergeCell ref="I48:L50"/>
    <mergeCell ref="B50:E50"/>
    <mergeCell ref="B52:E52"/>
    <mergeCell ref="B53:E53"/>
    <mergeCell ref="C45:F45"/>
    <mergeCell ref="B49:E49"/>
    <mergeCell ref="B51:C51"/>
  </mergeCells>
  <printOptions horizontalCentered="1"/>
  <pageMargins left="0.12" right="0.12" top="0.75" bottom="0.75" header="0.3" footer="0.3"/>
  <pageSetup scale="94" orientation="portrait" r:id="rId1"/>
  <headerFooter>
    <oddHeader>&amp;C&amp;"-,Bold"&amp;14Race</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249977111117893"/>
    <pageSetUpPr fitToPage="1"/>
  </sheetPr>
  <dimension ref="B1:M37"/>
  <sheetViews>
    <sheetView showGridLines="0" zoomScaleNormal="100" workbookViewId="0">
      <selection activeCell="G35" sqref="G35"/>
    </sheetView>
  </sheetViews>
  <sheetFormatPr defaultRowHeight="14.5" x14ac:dyDescent="0.35"/>
  <sheetData>
    <row r="1" spans="2:13" x14ac:dyDescent="0.35">
      <c r="B1" s="18"/>
      <c r="C1" s="18"/>
      <c r="D1" s="18"/>
      <c r="E1" s="18"/>
      <c r="F1" s="18"/>
      <c r="G1" s="18"/>
      <c r="H1" s="18"/>
      <c r="I1" s="18"/>
      <c r="J1" s="18"/>
      <c r="K1" s="18"/>
      <c r="L1" s="18"/>
      <c r="M1" s="18"/>
    </row>
    <row r="2" spans="2:13" x14ac:dyDescent="0.35">
      <c r="B2" s="18"/>
      <c r="C2" s="18"/>
      <c r="D2" s="18"/>
      <c r="E2" s="18"/>
      <c r="F2" s="18"/>
      <c r="G2" s="18"/>
      <c r="H2" s="18"/>
      <c r="I2" s="18"/>
      <c r="J2" s="18"/>
      <c r="K2" s="18"/>
      <c r="L2" s="18"/>
      <c r="M2" s="18"/>
    </row>
    <row r="3" spans="2:13" x14ac:dyDescent="0.35">
      <c r="B3" s="18"/>
      <c r="C3" s="18"/>
      <c r="D3" s="18"/>
      <c r="E3" s="18"/>
      <c r="F3" s="18"/>
      <c r="G3" s="18"/>
      <c r="H3" s="18"/>
      <c r="I3" s="18"/>
      <c r="J3" s="18"/>
      <c r="K3" s="18"/>
      <c r="L3" s="18"/>
      <c r="M3" s="18"/>
    </row>
    <row r="4" spans="2:13" x14ac:dyDescent="0.35">
      <c r="B4" s="18"/>
      <c r="C4" s="18"/>
      <c r="D4" s="18"/>
      <c r="E4" s="18"/>
      <c r="F4" s="18"/>
      <c r="G4" s="18"/>
      <c r="H4" s="18"/>
      <c r="I4" s="18"/>
      <c r="J4" s="18"/>
      <c r="K4" s="18"/>
      <c r="L4" s="18"/>
      <c r="M4" s="18"/>
    </row>
    <row r="5" spans="2:13" x14ac:dyDescent="0.35">
      <c r="B5" s="18"/>
      <c r="C5" s="18"/>
      <c r="D5" s="18"/>
      <c r="E5" s="18"/>
      <c r="F5" s="18"/>
      <c r="G5" s="18"/>
      <c r="H5" s="18"/>
      <c r="I5" s="18"/>
      <c r="J5" s="18"/>
      <c r="K5" s="18"/>
      <c r="L5" s="18"/>
      <c r="M5" s="18"/>
    </row>
    <row r="6" spans="2:13" x14ac:dyDescent="0.35">
      <c r="B6" s="18"/>
      <c r="C6" s="18"/>
      <c r="D6" s="18"/>
      <c r="E6" s="18"/>
      <c r="F6" s="18"/>
      <c r="G6" s="18"/>
      <c r="H6" s="18"/>
      <c r="I6" s="18"/>
      <c r="J6" s="18"/>
      <c r="K6" s="18"/>
      <c r="L6" s="18"/>
      <c r="M6" s="18"/>
    </row>
    <row r="7" spans="2:13" x14ac:dyDescent="0.35">
      <c r="B7" s="18"/>
      <c r="C7" s="18"/>
      <c r="D7" s="18"/>
      <c r="E7" s="18"/>
      <c r="F7" s="18"/>
      <c r="G7" s="18"/>
      <c r="H7" s="18"/>
      <c r="I7" s="18"/>
      <c r="J7" s="18"/>
      <c r="K7" s="18"/>
      <c r="L7" s="18"/>
      <c r="M7" s="18"/>
    </row>
    <row r="8" spans="2:13" x14ac:dyDescent="0.35">
      <c r="B8" s="18"/>
      <c r="C8" s="18"/>
      <c r="D8" s="18"/>
      <c r="E8" s="18"/>
      <c r="F8" s="18"/>
      <c r="G8" s="18"/>
      <c r="H8" s="18"/>
      <c r="I8" s="18"/>
      <c r="J8" s="18"/>
      <c r="K8" s="18"/>
      <c r="L8" s="18"/>
      <c r="M8" s="18"/>
    </row>
    <row r="9" spans="2:13" x14ac:dyDescent="0.35">
      <c r="B9" s="18"/>
      <c r="C9" s="18"/>
      <c r="D9" s="18"/>
      <c r="E9" s="18"/>
      <c r="F9" s="18"/>
      <c r="G9" s="18"/>
      <c r="H9" s="18"/>
      <c r="I9" s="18"/>
      <c r="J9" s="18"/>
      <c r="K9" s="18"/>
      <c r="L9" s="18"/>
      <c r="M9" s="18"/>
    </row>
    <row r="10" spans="2:13" x14ac:dyDescent="0.35">
      <c r="B10" s="18"/>
      <c r="C10" s="18"/>
      <c r="D10" s="18"/>
      <c r="E10" s="18"/>
      <c r="F10" s="18"/>
      <c r="G10" s="18"/>
      <c r="H10" s="18"/>
      <c r="I10" s="18"/>
      <c r="J10" s="18"/>
      <c r="K10" s="18"/>
      <c r="L10" s="18"/>
      <c r="M10" s="18"/>
    </row>
    <row r="11" spans="2:13" x14ac:dyDescent="0.35">
      <c r="B11" s="18"/>
      <c r="C11" s="18"/>
      <c r="D11" s="18"/>
      <c r="E11" s="18"/>
      <c r="F11" s="18"/>
      <c r="G11" s="18"/>
      <c r="H11" s="18"/>
      <c r="I11" s="18"/>
      <c r="J11" s="18"/>
      <c r="K11" s="18"/>
      <c r="L11" s="18"/>
      <c r="M11" s="18"/>
    </row>
    <row r="12" spans="2:13" x14ac:dyDescent="0.35">
      <c r="B12" s="18"/>
      <c r="C12" s="18"/>
      <c r="D12" s="18"/>
      <c r="E12" s="18"/>
      <c r="F12" s="18"/>
      <c r="G12" s="18"/>
      <c r="H12" s="18"/>
      <c r="I12" s="18"/>
      <c r="J12" s="18"/>
      <c r="K12" s="18"/>
      <c r="L12" s="18"/>
      <c r="M12" s="18"/>
    </row>
    <row r="13" spans="2:13" x14ac:dyDescent="0.35">
      <c r="B13" s="18"/>
      <c r="C13" s="18"/>
      <c r="D13" s="18"/>
      <c r="E13" s="18"/>
      <c r="F13" s="18"/>
      <c r="G13" s="18"/>
      <c r="H13" s="18"/>
      <c r="I13" s="18"/>
      <c r="J13" s="18"/>
      <c r="K13" s="18"/>
      <c r="L13" s="18"/>
      <c r="M13" s="18"/>
    </row>
    <row r="14" spans="2:13" x14ac:dyDescent="0.35">
      <c r="B14" s="18"/>
      <c r="C14" s="18"/>
      <c r="D14" s="18"/>
      <c r="E14" s="18"/>
      <c r="F14" s="18"/>
      <c r="G14" s="18"/>
      <c r="H14" s="18"/>
      <c r="I14" s="18"/>
      <c r="J14" s="18"/>
      <c r="K14" s="18"/>
      <c r="L14" s="18"/>
      <c r="M14" s="18"/>
    </row>
    <row r="15" spans="2:13" x14ac:dyDescent="0.35">
      <c r="B15" s="18"/>
      <c r="C15" s="18"/>
      <c r="D15" s="18"/>
      <c r="E15" s="18"/>
      <c r="F15" s="18"/>
      <c r="G15" s="18"/>
      <c r="H15" s="18"/>
      <c r="I15" s="18"/>
      <c r="J15" s="18"/>
      <c r="K15" s="18"/>
      <c r="L15" s="18"/>
      <c r="M15" s="18"/>
    </row>
    <row r="16" spans="2:13" x14ac:dyDescent="0.35">
      <c r="B16" s="18"/>
      <c r="C16" s="18"/>
      <c r="D16" s="18"/>
      <c r="E16" s="18"/>
      <c r="F16" s="18"/>
      <c r="G16" s="18"/>
      <c r="H16" s="18"/>
      <c r="I16" s="18"/>
      <c r="J16" s="18"/>
      <c r="K16" s="18"/>
      <c r="L16" s="18"/>
      <c r="M16" s="18"/>
    </row>
    <row r="17" spans="2:13" x14ac:dyDescent="0.35">
      <c r="B17" s="18"/>
      <c r="C17" s="18"/>
      <c r="D17" s="18"/>
      <c r="E17" s="18"/>
      <c r="F17" s="18"/>
      <c r="G17" s="18"/>
      <c r="H17" s="18"/>
      <c r="I17" s="18"/>
      <c r="J17" s="18"/>
      <c r="K17" s="18"/>
      <c r="L17" s="18"/>
      <c r="M17" s="18"/>
    </row>
    <row r="18" spans="2:13" x14ac:dyDescent="0.35">
      <c r="B18" s="18"/>
      <c r="C18" s="18"/>
      <c r="D18" s="18"/>
      <c r="E18" s="18"/>
      <c r="F18" s="18"/>
      <c r="G18" s="18"/>
      <c r="H18" s="18"/>
      <c r="I18" s="18"/>
      <c r="J18" s="18"/>
      <c r="K18" s="18"/>
      <c r="L18" s="18"/>
      <c r="M18" s="18"/>
    </row>
    <row r="19" spans="2:13" x14ac:dyDescent="0.35">
      <c r="B19" s="18"/>
      <c r="C19" s="18"/>
      <c r="D19" s="18"/>
      <c r="E19" s="18"/>
      <c r="F19" s="18"/>
      <c r="G19" s="18"/>
      <c r="H19" s="18"/>
      <c r="I19" s="18"/>
      <c r="J19" s="18"/>
      <c r="K19" s="18"/>
      <c r="L19" s="18"/>
      <c r="M19" s="18"/>
    </row>
    <row r="20" spans="2:13" x14ac:dyDescent="0.35">
      <c r="B20" s="18"/>
      <c r="C20" s="18"/>
      <c r="D20" s="18"/>
      <c r="E20" s="18"/>
      <c r="F20" s="18"/>
      <c r="G20" s="18"/>
      <c r="H20" s="18"/>
      <c r="I20" s="18"/>
      <c r="J20" s="18"/>
      <c r="K20" s="18"/>
      <c r="L20" s="18"/>
      <c r="M20" s="18"/>
    </row>
    <row r="21" spans="2:13" x14ac:dyDescent="0.35">
      <c r="B21" s="18"/>
      <c r="C21" s="18"/>
      <c r="D21" s="18"/>
      <c r="E21" s="18"/>
      <c r="F21" s="18"/>
      <c r="G21" s="18"/>
      <c r="H21" s="18"/>
      <c r="I21" s="18"/>
      <c r="J21" s="18"/>
      <c r="K21" s="18"/>
      <c r="L21" s="18"/>
      <c r="M21" s="18"/>
    </row>
    <row r="22" spans="2:13" x14ac:dyDescent="0.35">
      <c r="B22" s="18"/>
      <c r="C22" s="18"/>
      <c r="D22" s="18"/>
      <c r="E22" s="18"/>
      <c r="F22" s="18"/>
      <c r="G22" s="18"/>
      <c r="H22" s="18"/>
      <c r="I22" s="18"/>
      <c r="J22" s="18"/>
      <c r="K22" s="18"/>
      <c r="L22" s="18"/>
      <c r="M22" s="18"/>
    </row>
    <row r="23" spans="2:13" x14ac:dyDescent="0.35">
      <c r="B23" s="18"/>
      <c r="C23" s="18"/>
      <c r="D23" s="18"/>
      <c r="E23" s="18"/>
      <c r="F23" s="18"/>
      <c r="G23" s="18"/>
      <c r="H23" s="18"/>
      <c r="I23" s="18"/>
      <c r="J23" s="18"/>
      <c r="K23" s="18"/>
      <c r="L23" s="18"/>
      <c r="M23" s="18"/>
    </row>
    <row r="24" spans="2:13" x14ac:dyDescent="0.35">
      <c r="B24" s="18"/>
      <c r="C24" s="18"/>
      <c r="D24" s="18"/>
      <c r="E24" s="18"/>
      <c r="F24" s="18"/>
      <c r="G24" s="18"/>
      <c r="H24" s="18"/>
      <c r="I24" s="18"/>
      <c r="J24" s="18"/>
      <c r="K24" s="18"/>
      <c r="L24" s="18"/>
      <c r="M24" s="18"/>
    </row>
    <row r="25" spans="2:13" x14ac:dyDescent="0.35">
      <c r="B25" s="18"/>
      <c r="C25" s="18"/>
      <c r="D25" s="18"/>
      <c r="E25" s="18"/>
      <c r="F25" s="18"/>
      <c r="G25" s="18"/>
      <c r="H25" s="18"/>
      <c r="I25" s="18"/>
      <c r="J25" s="18"/>
      <c r="K25" s="18"/>
      <c r="L25" s="18"/>
      <c r="M25" s="18"/>
    </row>
    <row r="26" spans="2:13" x14ac:dyDescent="0.35">
      <c r="B26" s="18"/>
      <c r="C26" s="18"/>
      <c r="D26" s="18"/>
      <c r="E26" s="18"/>
      <c r="F26" s="18"/>
      <c r="G26" s="18"/>
      <c r="H26" s="18"/>
      <c r="I26" s="18"/>
      <c r="J26" s="18"/>
      <c r="K26" s="18"/>
      <c r="L26" s="18"/>
      <c r="M26" s="18"/>
    </row>
    <row r="27" spans="2:13" x14ac:dyDescent="0.35">
      <c r="B27" s="18"/>
      <c r="C27" s="18"/>
      <c r="D27" s="18"/>
      <c r="E27" s="18"/>
      <c r="F27" s="18"/>
      <c r="G27" s="18"/>
      <c r="H27" s="18"/>
      <c r="I27" s="18"/>
      <c r="J27" s="18"/>
      <c r="K27" s="18"/>
      <c r="L27" s="18"/>
      <c r="M27" s="18"/>
    </row>
    <row r="28" spans="2:13" x14ac:dyDescent="0.35">
      <c r="B28" s="18"/>
      <c r="C28" s="18"/>
      <c r="D28" s="18"/>
      <c r="E28" s="18"/>
      <c r="F28" s="18"/>
      <c r="G28" s="18"/>
      <c r="H28" s="18"/>
      <c r="I28" s="18"/>
      <c r="J28" s="18"/>
      <c r="K28" s="18"/>
      <c r="L28" s="18"/>
      <c r="M28" s="18"/>
    </row>
    <row r="29" spans="2:13" x14ac:dyDescent="0.35">
      <c r="B29" s="18"/>
      <c r="C29" s="18"/>
      <c r="D29" s="18"/>
      <c r="E29" s="18"/>
      <c r="F29" s="18"/>
      <c r="G29" s="18"/>
      <c r="H29" s="18"/>
      <c r="I29" s="18"/>
      <c r="J29" s="18"/>
      <c r="K29" s="18"/>
      <c r="L29" s="18"/>
      <c r="M29" s="18"/>
    </row>
    <row r="33" spans="3:13" x14ac:dyDescent="0.35">
      <c r="G33" s="26" t="s">
        <v>56</v>
      </c>
      <c r="H33" s="26" t="s">
        <v>96</v>
      </c>
    </row>
    <row r="34" spans="3:13" x14ac:dyDescent="0.35">
      <c r="C34" s="440" t="s">
        <v>22</v>
      </c>
      <c r="D34" s="441"/>
      <c r="E34" s="442"/>
      <c r="F34" s="92" t="s">
        <v>19</v>
      </c>
      <c r="G34" s="85" t="s">
        <v>20</v>
      </c>
      <c r="H34" s="85" t="s">
        <v>20</v>
      </c>
    </row>
    <row r="35" spans="3:13" x14ac:dyDescent="0.35">
      <c r="C35" s="443" t="s">
        <v>107</v>
      </c>
      <c r="D35" s="444"/>
      <c r="E35" s="445"/>
      <c r="F35" s="128">
        <f>COUNTIF('Data Entry'!N3:N352,"Hispanic or Latinx")</f>
        <v>0</v>
      </c>
      <c r="G35" s="225" t="e">
        <f>F35/$F$37</f>
        <v>#DIV/0!</v>
      </c>
      <c r="H35" s="250">
        <v>0.19789351462575233</v>
      </c>
      <c r="I35" s="452" t="s">
        <v>99</v>
      </c>
      <c r="J35" s="453"/>
      <c r="K35" s="453"/>
      <c r="L35" s="453"/>
      <c r="M35" s="453"/>
    </row>
    <row r="36" spans="3:13" ht="15" thickBot="1" x14ac:dyDescent="0.4">
      <c r="C36" s="446" t="s">
        <v>108</v>
      </c>
      <c r="D36" s="447"/>
      <c r="E36" s="448"/>
      <c r="F36" s="129">
        <f>COUNTIF('Data Entry'!N3:N352,"Not Hispanic or Latinx")</f>
        <v>0</v>
      </c>
      <c r="G36" s="251" t="e">
        <f>F36/$F$37</f>
        <v>#DIV/0!</v>
      </c>
      <c r="H36" s="252">
        <v>0.80210648537424767</v>
      </c>
      <c r="I36" s="452"/>
      <c r="J36" s="453"/>
      <c r="K36" s="453"/>
      <c r="L36" s="453"/>
      <c r="M36" s="453"/>
    </row>
    <row r="37" spans="3:13" ht="15" thickTop="1" x14ac:dyDescent="0.35">
      <c r="C37" s="449" t="s">
        <v>13</v>
      </c>
      <c r="D37" s="450"/>
      <c r="E37" s="451"/>
      <c r="F37" s="130">
        <f>SUM(F35:F36)</f>
        <v>0</v>
      </c>
      <c r="G37" s="228" t="e">
        <f>SUM(G35:G36)</f>
        <v>#DIV/0!</v>
      </c>
      <c r="H37" s="228">
        <f>SUM(H35:H36)</f>
        <v>1</v>
      </c>
      <c r="I37" s="452"/>
      <c r="J37" s="453"/>
      <c r="K37" s="453"/>
      <c r="L37" s="453"/>
      <c r="M37" s="453"/>
    </row>
  </sheetData>
  <sheetProtection selectLockedCells="1"/>
  <mergeCells count="5">
    <mergeCell ref="C34:E34"/>
    <mergeCell ref="C35:E35"/>
    <mergeCell ref="C36:E36"/>
    <mergeCell ref="C37:E37"/>
    <mergeCell ref="I35:M37"/>
  </mergeCells>
  <printOptions horizontalCentered="1"/>
  <pageMargins left="0.12" right="0.12" top="0.61" bottom="0.75" header="0.3" footer="0.3"/>
  <pageSetup scale="94" orientation="portrait" r:id="rId1"/>
  <headerFooter>
    <oddHeader>&amp;C&amp;"-,Bold"&amp;14Ethnicity</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499984740745262"/>
    <pageSetUpPr fitToPage="1"/>
  </sheetPr>
  <dimension ref="C3:G37"/>
  <sheetViews>
    <sheetView showGridLines="0" zoomScaleNormal="100" workbookViewId="0">
      <selection activeCell="E30" sqref="E30"/>
    </sheetView>
  </sheetViews>
  <sheetFormatPr defaultColWidth="9.1796875" defaultRowHeight="14.5" x14ac:dyDescent="0.35"/>
  <cols>
    <col min="1" max="1" width="9.1796875" style="95"/>
    <col min="2" max="2" width="4.7265625" style="95" customWidth="1"/>
    <col min="3" max="3" width="30.81640625" style="95" bestFit="1" customWidth="1"/>
    <col min="4" max="5" width="25.7265625" style="114" customWidth="1"/>
    <col min="6" max="6" width="3" style="95" customWidth="1"/>
    <col min="7" max="7" width="10.7265625" style="95" customWidth="1"/>
    <col min="8" max="8" width="4.7265625" style="95" customWidth="1"/>
    <col min="9" max="16384" width="9.1796875" style="95"/>
  </cols>
  <sheetData>
    <row r="3" spans="3:7" ht="18" customHeight="1" x14ac:dyDescent="0.35">
      <c r="C3" s="216" t="s">
        <v>57</v>
      </c>
    </row>
    <row r="4" spans="3:7" ht="18" customHeight="1" thickBot="1" x14ac:dyDescent="0.4">
      <c r="D4" s="454" t="s">
        <v>6</v>
      </c>
      <c r="E4" s="454"/>
    </row>
    <row r="5" spans="3:7" s="98" customFormat="1" ht="18" customHeight="1" thickBot="1" x14ac:dyDescent="0.4">
      <c r="C5" s="96" t="s">
        <v>4</v>
      </c>
      <c r="D5" s="97" t="s">
        <v>107</v>
      </c>
      <c r="E5" s="97" t="s">
        <v>108</v>
      </c>
      <c r="F5" s="96"/>
      <c r="G5" s="97" t="s">
        <v>13</v>
      </c>
    </row>
    <row r="6" spans="3:7" s="99" customFormat="1" ht="18" customHeight="1" x14ac:dyDescent="0.35">
      <c r="C6" s="99" t="s">
        <v>9</v>
      </c>
      <c r="D6" s="100">
        <f>COUNTIFS('Data Entry'!L3:L352,"White or Caucasian",'Data Entry'!N3:N352,"Hispanic or Latinx")</f>
        <v>0</v>
      </c>
      <c r="E6" s="100">
        <f>COUNTIFS('Data Entry'!L3:L352,"White or Caucasian",'Data Entry'!N3:N352,"Not Hispanic or Latinx")</f>
        <v>0</v>
      </c>
      <c r="F6" s="101"/>
      <c r="G6" s="102">
        <f>SUM(D6:E6)</f>
        <v>0</v>
      </c>
    </row>
    <row r="7" spans="3:7" s="99" customFormat="1" ht="18" customHeight="1" x14ac:dyDescent="0.35">
      <c r="C7" s="99" t="s">
        <v>10</v>
      </c>
      <c r="D7" s="100">
        <f>COUNTIFS('Data Entry'!L3:L352,"Black or African-American",'Data Entry'!N3:N352,"Hispanic or Latinx")</f>
        <v>0</v>
      </c>
      <c r="E7" s="100">
        <f>COUNTIFS('Data Entry'!L3:L352,"Black or African-American",'Data Entry'!N3:N352,"Not Hispanic or Latinx")</f>
        <v>0</v>
      </c>
      <c r="F7" s="101"/>
      <c r="G7" s="102">
        <f t="shared" ref="G7:G10" si="0">SUM(D7:E7)</f>
        <v>0</v>
      </c>
    </row>
    <row r="8" spans="3:7" s="99" customFormat="1" ht="18" customHeight="1" x14ac:dyDescent="0.35">
      <c r="C8" s="99" t="s">
        <v>11</v>
      </c>
      <c r="D8" s="100">
        <f>COUNTIFS('Data Entry'!L3:L352,"American Indian or Alaska Native",'Data Entry'!N3:N352,"Hispanic or Latinx")</f>
        <v>0</v>
      </c>
      <c r="E8" s="100">
        <f>COUNTIFS('Data Entry'!L3:L352,"American Indian or Alaska Native",'Data Entry'!N3:N352,"Not Hispanic or Latinx")</f>
        <v>0</v>
      </c>
      <c r="F8" s="101"/>
      <c r="G8" s="102">
        <f t="shared" si="0"/>
        <v>0</v>
      </c>
    </row>
    <row r="9" spans="3:7" s="99" customFormat="1" ht="18" customHeight="1" x14ac:dyDescent="0.35">
      <c r="C9" s="99" t="s">
        <v>5</v>
      </c>
      <c r="D9" s="100">
        <f>COUNTIFS('Data Entry'!L3:L352,"Asian",'Data Entry'!N3:N352,"Hispanic or Latinx")</f>
        <v>0</v>
      </c>
      <c r="E9" s="100">
        <f>COUNTIFS('Data Entry'!L3:L352,"Asian",'Data Entry'!N3:N352,"Not Hispanic or Latinx")</f>
        <v>0</v>
      </c>
      <c r="F9" s="101"/>
      <c r="G9" s="102">
        <f t="shared" si="0"/>
        <v>0</v>
      </c>
    </row>
    <row r="10" spans="3:7" s="99" customFormat="1" ht="18" customHeight="1" x14ac:dyDescent="0.35">
      <c r="C10" s="99" t="s">
        <v>12</v>
      </c>
      <c r="D10" s="100">
        <f>COUNTIFS('Data Entry'!L3:L352,"Pacific Islander",'Data Entry'!N3:N352,"Hispanic or Latinx")</f>
        <v>0</v>
      </c>
      <c r="E10" s="100">
        <f>COUNTIFS('Data Entry'!L3:L352,"Pacific Islander",'Data Entry'!N3:N352,"Not Hispanic or Latinx")</f>
        <v>0</v>
      </c>
      <c r="F10" s="101"/>
      <c r="G10" s="102">
        <f t="shared" si="0"/>
        <v>0</v>
      </c>
    </row>
    <row r="11" spans="3:7" s="99" customFormat="1" ht="18" customHeight="1" x14ac:dyDescent="0.35">
      <c r="C11" s="99" t="s">
        <v>109</v>
      </c>
      <c r="D11" s="100">
        <f>COUNTIFS('Data Entry'!L3:L352,"Blended Race",'Data Entry'!N3:N352,"Hispanic or Latinx")</f>
        <v>0</v>
      </c>
      <c r="E11" s="100">
        <f>COUNTIFS('Data Entry'!L3:L352,"Blended Race",'Data Entry'!N3:N352,"Not Hispanic or Latinx")</f>
        <v>0</v>
      </c>
      <c r="F11" s="101"/>
      <c r="G11" s="102">
        <f>SUM(D11:E11)</f>
        <v>0</v>
      </c>
    </row>
    <row r="12" spans="3:7" s="99" customFormat="1" ht="18" customHeight="1" thickBot="1" x14ac:dyDescent="0.4">
      <c r="C12" s="103" t="s">
        <v>14</v>
      </c>
      <c r="D12" s="104">
        <f>COUNTIFS('Data Entry'!L3:L352,"Other",'Data Entry'!N3:N352,"Hispanic or Latinx")</f>
        <v>0</v>
      </c>
      <c r="E12" s="104">
        <f>COUNTIFS('Data Entry'!L3:L352,"Other",'Data Entry'!N3:N352,"Not Hispanic or Latinx")</f>
        <v>0</v>
      </c>
      <c r="F12" s="105"/>
      <c r="G12" s="106">
        <f>SUM(D12:E12)</f>
        <v>0</v>
      </c>
    </row>
    <row r="13" spans="3:7" s="99" customFormat="1" ht="18" customHeight="1" thickTop="1" x14ac:dyDescent="0.35">
      <c r="C13" s="107" t="s">
        <v>13</v>
      </c>
      <c r="D13" s="108">
        <f>SUM(D6:D12)</f>
        <v>0</v>
      </c>
      <c r="E13" s="108">
        <f>SUM(E6:E12)</f>
        <v>0</v>
      </c>
      <c r="F13" s="101"/>
      <c r="G13" s="108">
        <f>SUM(G6:G12)</f>
        <v>0</v>
      </c>
    </row>
    <row r="15" spans="3:7" ht="15.5" x14ac:dyDescent="0.35">
      <c r="C15" s="216" t="s">
        <v>52</v>
      </c>
    </row>
    <row r="16" spans="3:7" ht="18" customHeight="1" thickBot="1" x14ac:dyDescent="0.4">
      <c r="D16" s="454" t="s">
        <v>6</v>
      </c>
      <c r="E16" s="454"/>
    </row>
    <row r="17" spans="3:7" s="99" customFormat="1" ht="18" customHeight="1" thickBot="1" x14ac:dyDescent="0.4">
      <c r="C17" s="96" t="s">
        <v>4</v>
      </c>
      <c r="D17" s="188" t="s">
        <v>107</v>
      </c>
      <c r="E17" s="97" t="s">
        <v>108</v>
      </c>
      <c r="F17" s="96"/>
      <c r="G17" s="132" t="s">
        <v>13</v>
      </c>
    </row>
    <row r="18" spans="3:7" ht="18" customHeight="1" x14ac:dyDescent="0.35">
      <c r="C18" s="99" t="s">
        <v>9</v>
      </c>
      <c r="D18" s="253">
        <f>IF(D6=0,0,D6/$D$13)</f>
        <v>0</v>
      </c>
      <c r="E18" s="254">
        <f t="shared" ref="E18:E24" si="1">IF(E6=0,0,E6/$E$13)</f>
        <v>0</v>
      </c>
      <c r="F18" s="109"/>
      <c r="G18" s="187">
        <f t="shared" ref="G18:G24" si="2">G6</f>
        <v>0</v>
      </c>
    </row>
    <row r="19" spans="3:7" ht="18" customHeight="1" x14ac:dyDescent="0.35">
      <c r="C19" s="99" t="s">
        <v>10</v>
      </c>
      <c r="D19" s="253">
        <f t="shared" ref="D19:D24" si="3">IF(D7=0,0,D7/$D$13)</f>
        <v>0</v>
      </c>
      <c r="E19" s="254">
        <f t="shared" si="1"/>
        <v>0</v>
      </c>
      <c r="F19" s="109"/>
      <c r="G19" s="187">
        <f t="shared" si="2"/>
        <v>0</v>
      </c>
    </row>
    <row r="20" spans="3:7" ht="18" customHeight="1" x14ac:dyDescent="0.35">
      <c r="C20" s="99" t="s">
        <v>11</v>
      </c>
      <c r="D20" s="253">
        <f t="shared" si="3"/>
        <v>0</v>
      </c>
      <c r="E20" s="254">
        <f t="shared" si="1"/>
        <v>0</v>
      </c>
      <c r="F20" s="109"/>
      <c r="G20" s="187">
        <f t="shared" si="2"/>
        <v>0</v>
      </c>
    </row>
    <row r="21" spans="3:7" ht="18" customHeight="1" x14ac:dyDescent="0.35">
      <c r="C21" s="99" t="s">
        <v>5</v>
      </c>
      <c r="D21" s="253">
        <f t="shared" si="3"/>
        <v>0</v>
      </c>
      <c r="E21" s="254">
        <f t="shared" si="1"/>
        <v>0</v>
      </c>
      <c r="F21" s="109"/>
      <c r="G21" s="187">
        <f t="shared" si="2"/>
        <v>0</v>
      </c>
    </row>
    <row r="22" spans="3:7" ht="18" customHeight="1" x14ac:dyDescent="0.35">
      <c r="C22" s="99" t="s">
        <v>12</v>
      </c>
      <c r="D22" s="253">
        <f t="shared" si="3"/>
        <v>0</v>
      </c>
      <c r="E22" s="254">
        <f t="shared" si="1"/>
        <v>0</v>
      </c>
      <c r="F22" s="109"/>
      <c r="G22" s="187">
        <f t="shared" si="2"/>
        <v>0</v>
      </c>
    </row>
    <row r="23" spans="3:7" ht="18" customHeight="1" x14ac:dyDescent="0.35">
      <c r="C23" s="99" t="s">
        <v>109</v>
      </c>
      <c r="D23" s="253">
        <f t="shared" si="3"/>
        <v>0</v>
      </c>
      <c r="E23" s="254">
        <f t="shared" si="1"/>
        <v>0</v>
      </c>
      <c r="F23" s="109"/>
      <c r="G23" s="187">
        <f t="shared" si="2"/>
        <v>0</v>
      </c>
    </row>
    <row r="24" spans="3:7" ht="18" customHeight="1" thickBot="1" x14ac:dyDescent="0.4">
      <c r="C24" s="103" t="s">
        <v>14</v>
      </c>
      <c r="D24" s="255">
        <f t="shared" si="3"/>
        <v>0</v>
      </c>
      <c r="E24" s="256">
        <f t="shared" si="1"/>
        <v>0</v>
      </c>
      <c r="F24" s="103"/>
      <c r="G24" s="106">
        <f t="shared" si="2"/>
        <v>0</v>
      </c>
    </row>
    <row r="25" spans="3:7" ht="18" customHeight="1" thickTop="1" x14ac:dyDescent="0.35">
      <c r="C25" s="107" t="s">
        <v>13</v>
      </c>
      <c r="D25" s="257">
        <f>SUM(D18:D24)</f>
        <v>0</v>
      </c>
      <c r="E25" s="258">
        <f>SUM(E18:E24)</f>
        <v>0</v>
      </c>
      <c r="F25" s="109"/>
      <c r="G25" s="108">
        <f>SUM(G18:G24)</f>
        <v>0</v>
      </c>
    </row>
    <row r="27" spans="3:7" ht="15.5" x14ac:dyDescent="0.35">
      <c r="C27" s="216" t="s">
        <v>53</v>
      </c>
    </row>
    <row r="28" spans="3:7" ht="18" customHeight="1" thickBot="1" x14ac:dyDescent="0.4">
      <c r="D28" s="454" t="s">
        <v>6</v>
      </c>
      <c r="E28" s="454"/>
    </row>
    <row r="29" spans="3:7" s="99" customFormat="1" ht="18" customHeight="1" thickBot="1" x14ac:dyDescent="0.4">
      <c r="C29" s="96" t="s">
        <v>4</v>
      </c>
      <c r="D29" s="97" t="s">
        <v>107</v>
      </c>
      <c r="E29" s="97" t="s">
        <v>108</v>
      </c>
      <c r="F29" s="110"/>
      <c r="G29" s="97" t="s">
        <v>13</v>
      </c>
    </row>
    <row r="30" spans="3:7" ht="18" customHeight="1" x14ac:dyDescent="0.35">
      <c r="C30" s="99" t="s">
        <v>9</v>
      </c>
      <c r="D30" s="254">
        <f t="shared" ref="D30:D36" si="4">IF(D6=0,0,D6/G6)</f>
        <v>0</v>
      </c>
      <c r="E30" s="254">
        <f t="shared" ref="E30:E36" si="5">IF(E6=0,0,E6/G6)</f>
        <v>0</v>
      </c>
      <c r="G30" s="260">
        <f>SUM(D30:F30)</f>
        <v>0</v>
      </c>
    </row>
    <row r="31" spans="3:7" ht="18" customHeight="1" x14ac:dyDescent="0.35">
      <c r="C31" s="111" t="s">
        <v>10</v>
      </c>
      <c r="D31" s="259">
        <f t="shared" si="4"/>
        <v>0</v>
      </c>
      <c r="E31" s="259">
        <f t="shared" si="5"/>
        <v>0</v>
      </c>
      <c r="F31" s="112"/>
      <c r="G31" s="261">
        <f t="shared" ref="G31:G37" si="6">SUM(D31:F31)</f>
        <v>0</v>
      </c>
    </row>
    <row r="32" spans="3:7" ht="18" customHeight="1" x14ac:dyDescent="0.35">
      <c r="C32" s="111" t="s">
        <v>11</v>
      </c>
      <c r="D32" s="259">
        <f t="shared" si="4"/>
        <v>0</v>
      </c>
      <c r="E32" s="259">
        <f t="shared" si="5"/>
        <v>0</v>
      </c>
      <c r="F32" s="112"/>
      <c r="G32" s="261">
        <f t="shared" si="6"/>
        <v>0</v>
      </c>
    </row>
    <row r="33" spans="3:7" ht="18" customHeight="1" x14ac:dyDescent="0.35">
      <c r="C33" s="111" t="s">
        <v>5</v>
      </c>
      <c r="D33" s="259">
        <f t="shared" si="4"/>
        <v>0</v>
      </c>
      <c r="E33" s="259">
        <f t="shared" si="5"/>
        <v>0</v>
      </c>
      <c r="F33" s="112"/>
      <c r="G33" s="261">
        <f t="shared" si="6"/>
        <v>0</v>
      </c>
    </row>
    <row r="34" spans="3:7" ht="18" customHeight="1" x14ac:dyDescent="0.35">
      <c r="C34" s="111" t="s">
        <v>12</v>
      </c>
      <c r="D34" s="259">
        <f t="shared" si="4"/>
        <v>0</v>
      </c>
      <c r="E34" s="259">
        <f t="shared" si="5"/>
        <v>0</v>
      </c>
      <c r="F34" s="112"/>
      <c r="G34" s="261">
        <f t="shared" si="6"/>
        <v>0</v>
      </c>
    </row>
    <row r="35" spans="3:7" ht="18" customHeight="1" x14ac:dyDescent="0.35">
      <c r="C35" s="111" t="s">
        <v>109</v>
      </c>
      <c r="D35" s="259">
        <f t="shared" si="4"/>
        <v>0</v>
      </c>
      <c r="E35" s="259">
        <f t="shared" si="5"/>
        <v>0</v>
      </c>
      <c r="F35" s="220"/>
      <c r="G35" s="262">
        <f>SUM(D35:E35)</f>
        <v>0</v>
      </c>
    </row>
    <row r="36" spans="3:7" ht="18" customHeight="1" thickBot="1" x14ac:dyDescent="0.4">
      <c r="C36" s="103" t="s">
        <v>14</v>
      </c>
      <c r="D36" s="256">
        <f t="shared" si="4"/>
        <v>0</v>
      </c>
      <c r="E36" s="256">
        <f t="shared" si="5"/>
        <v>0</v>
      </c>
      <c r="F36" s="113"/>
      <c r="G36" s="263">
        <f t="shared" si="6"/>
        <v>0</v>
      </c>
    </row>
    <row r="37" spans="3:7" ht="18" customHeight="1" thickTop="1" x14ac:dyDescent="0.35">
      <c r="C37" s="107" t="s">
        <v>54</v>
      </c>
      <c r="D37" s="258">
        <f t="shared" ref="D37" si="7">IF(D13=0,0,D13/G13)</f>
        <v>0</v>
      </c>
      <c r="E37" s="258">
        <f t="shared" ref="E37" si="8">IF(E13=0,0,E13/G13)</f>
        <v>0</v>
      </c>
      <c r="G37" s="260">
        <f t="shared" si="6"/>
        <v>0</v>
      </c>
    </row>
  </sheetData>
  <sheetProtection selectLockedCells="1"/>
  <mergeCells count="3">
    <mergeCell ref="D4:E4"/>
    <mergeCell ref="D16:E16"/>
    <mergeCell ref="D28:E28"/>
  </mergeCells>
  <printOptions horizontalCentered="1"/>
  <pageMargins left="0.2" right="0.2" top="0.75" bottom="0.75" header="0.39" footer="0.3"/>
  <pageSetup scale="97" orientation="portrait" r:id="rId1"/>
  <headerFooter>
    <oddHeader>&amp;C&amp;"-,Bold"&amp;14Race and Ethnicity</oddHeader>
  </headerFooter>
  <ignoredErrors>
    <ignoredError sqref="G35" formula="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C3:Q68"/>
  <sheetViews>
    <sheetView showGridLines="0" zoomScale="90" zoomScaleNormal="90" workbookViewId="0">
      <selection activeCell="H7" sqref="H7"/>
    </sheetView>
  </sheetViews>
  <sheetFormatPr defaultRowHeight="14.5" x14ac:dyDescent="0.35"/>
  <cols>
    <col min="1" max="1" width="4.26953125" customWidth="1"/>
    <col min="2" max="2" width="5.7265625" customWidth="1"/>
    <col min="3" max="3" width="30.81640625" bestFit="1" customWidth="1"/>
    <col min="4" max="6" width="12.7265625" style="36" customWidth="1"/>
    <col min="7" max="7" width="2.81640625" customWidth="1"/>
    <col min="8" max="9" width="12.7265625" customWidth="1"/>
    <col min="17" max="17" width="5.7265625" customWidth="1"/>
  </cols>
  <sheetData>
    <row r="3" spans="3:10" s="39" customFormat="1" ht="18" customHeight="1" x14ac:dyDescent="0.45">
      <c r="C3" s="192" t="s">
        <v>122</v>
      </c>
      <c r="D3" s="36"/>
      <c r="E3" s="36"/>
      <c r="F3" s="51"/>
    </row>
    <row r="4" spans="3:10" s="39" customFormat="1" ht="18" customHeight="1" x14ac:dyDescent="0.35">
      <c r="C4"/>
      <c r="D4" s="36"/>
      <c r="E4" s="36"/>
      <c r="F4" s="51"/>
      <c r="H4" s="457"/>
      <c r="I4" s="457"/>
    </row>
    <row r="5" spans="3:10" ht="18" customHeight="1" x14ac:dyDescent="0.35">
      <c r="D5" s="395" t="s">
        <v>56</v>
      </c>
      <c r="E5" s="395"/>
      <c r="F5" s="395"/>
      <c r="H5" s="455" t="s">
        <v>114</v>
      </c>
      <c r="I5" s="455" t="s">
        <v>115</v>
      </c>
    </row>
    <row r="6" spans="3:10" ht="18" customHeight="1" thickBot="1" x14ac:dyDescent="0.4">
      <c r="C6" s="217" t="s">
        <v>4</v>
      </c>
      <c r="D6" s="48" t="s">
        <v>13</v>
      </c>
      <c r="E6" s="48" t="s">
        <v>45</v>
      </c>
      <c r="F6" s="48" t="s">
        <v>55</v>
      </c>
      <c r="G6" s="18"/>
      <c r="H6" s="456"/>
      <c r="I6" s="456"/>
    </row>
    <row r="7" spans="3:10" ht="22.5" customHeight="1" x14ac:dyDescent="0.35">
      <c r="C7" s="79" t="s">
        <v>9</v>
      </c>
      <c r="D7" s="80">
        <f>Race!F36</f>
        <v>0</v>
      </c>
      <c r="E7" s="49">
        <f>COUNTIFS('Data Entry'!L3:L352,"White or Caucasian",'Data Entry'!O3:O352,"Yes")</f>
        <v>0</v>
      </c>
      <c r="F7" s="53">
        <f>COUNTIFS('Data Entry'!L3:L352,"White or Caucasian",'Data Entry'!O3:O352,"Yes",'Data Entry'!S3:S352,"Yes")</f>
        <v>0</v>
      </c>
      <c r="G7" s="46"/>
      <c r="H7" s="264" t="str">
        <f t="shared" ref="H7:H14" si="0">IF(E7,E7/D7,"None")</f>
        <v>None</v>
      </c>
      <c r="I7" s="264" t="str">
        <f t="shared" ref="I7:I14" si="1">IF(F7,F7/E7,"None")</f>
        <v>None</v>
      </c>
    </row>
    <row r="8" spans="3:10" ht="22.5" customHeight="1" x14ac:dyDescent="0.35">
      <c r="C8" s="81" t="s">
        <v>10</v>
      </c>
      <c r="D8" s="82">
        <f>Race!F37</f>
        <v>0</v>
      </c>
      <c r="E8" s="59">
        <f>COUNTIFS('Data Entry'!L3:L352,"Black or African-American",'Data Entry'!O3:O352,"Yes")</f>
        <v>0</v>
      </c>
      <c r="F8" s="59">
        <f>COUNTIFS('Data Entry'!L3:L352,"Black or African-American",'Data Entry'!O3:O352,"Yes",'Data Entry'!S3:S352,"Yes")</f>
        <v>0</v>
      </c>
      <c r="G8" s="58"/>
      <c r="H8" s="265" t="str">
        <f t="shared" si="0"/>
        <v>None</v>
      </c>
      <c r="I8" s="265" t="str">
        <f t="shared" si="1"/>
        <v>None</v>
      </c>
      <c r="J8" s="52"/>
    </row>
    <row r="9" spans="3:10" ht="22.5" customHeight="1" x14ac:dyDescent="0.35">
      <c r="C9" s="83" t="s">
        <v>11</v>
      </c>
      <c r="D9" s="84">
        <f>Race!F38</f>
        <v>0</v>
      </c>
      <c r="E9" s="61">
        <f>COUNTIFS('Data Entry'!L3:L352,"American Indian or Alaska Native",'Data Entry'!O3:O352,"Yes")</f>
        <v>0</v>
      </c>
      <c r="F9" s="61">
        <f>COUNTIFS('Data Entry'!L3:L352,"American Indian or Alaska Native",'Data Entry'!O3:O352,"Yes",'Data Entry'!S3:S352,"Yes")</f>
        <v>0</v>
      </c>
      <c r="G9" s="60"/>
      <c r="H9" s="266" t="str">
        <f t="shared" si="0"/>
        <v>None</v>
      </c>
      <c r="I9" s="266" t="str">
        <f t="shared" si="1"/>
        <v>None</v>
      </c>
    </row>
    <row r="10" spans="3:10" ht="22.5" customHeight="1" x14ac:dyDescent="0.35">
      <c r="C10" s="81" t="s">
        <v>5</v>
      </c>
      <c r="D10" s="82">
        <f>Race!F39</f>
        <v>0</v>
      </c>
      <c r="E10" s="59">
        <f>COUNTIFS('Data Entry'!L3:L352,"Asian",'Data Entry'!O3:O352,"Yes")</f>
        <v>0</v>
      </c>
      <c r="F10" s="59">
        <f>COUNTIFS('Data Entry'!L3:L352,"Asian",'Data Entry'!O3:O352,"Yes",'Data Entry'!S3:S352,"Yes")</f>
        <v>0</v>
      </c>
      <c r="G10" s="58"/>
      <c r="H10" s="265" t="str">
        <f t="shared" si="0"/>
        <v>None</v>
      </c>
      <c r="I10" s="265" t="str">
        <f t="shared" si="1"/>
        <v>None</v>
      </c>
    </row>
    <row r="11" spans="3:10" ht="22.5" customHeight="1" x14ac:dyDescent="0.35">
      <c r="C11" s="83" t="s">
        <v>12</v>
      </c>
      <c r="D11" s="84">
        <f>Race!F40</f>
        <v>0</v>
      </c>
      <c r="E11" s="61">
        <f>COUNTIFS('Data Entry'!L3:L352,"Pacific Islander",'Data Entry'!O3:O352,"Yes")</f>
        <v>0</v>
      </c>
      <c r="F11" s="61">
        <f>COUNTIFS('Data Entry'!L3:L352,"Pacific Islander",'Data Entry'!O3:O352,"Yes",'Data Entry'!S3:S352,"Yes")</f>
        <v>0</v>
      </c>
      <c r="G11" s="60"/>
      <c r="H11" s="266" t="str">
        <f t="shared" si="0"/>
        <v>None</v>
      </c>
      <c r="I11" s="266" t="str">
        <f t="shared" si="1"/>
        <v>None</v>
      </c>
    </row>
    <row r="12" spans="3:10" ht="22.5" customHeight="1" x14ac:dyDescent="0.35">
      <c r="C12" s="81" t="s">
        <v>109</v>
      </c>
      <c r="D12" s="82">
        <f>Race!F41</f>
        <v>0</v>
      </c>
      <c r="E12" s="59">
        <f>COUNTIFS('Data Entry'!L3:L352,"Blended Race",'Data Entry'!O3:O352,"Yes")</f>
        <v>0</v>
      </c>
      <c r="F12" s="59">
        <f>COUNTIFS('Data Entry'!L3:L352,"Blended Race",'Data Entry'!O3:O352,"Yes",'Data Entry'!S3:S352,"Yes")</f>
        <v>0</v>
      </c>
      <c r="G12" s="58"/>
      <c r="H12" s="265" t="str">
        <f t="shared" ref="H12" si="2">IF(E12,E12/D12,"None")</f>
        <v>None</v>
      </c>
      <c r="I12" s="265" t="str">
        <f t="shared" ref="I12" si="3">IF(F12,F12/E12,"None")</f>
        <v>None</v>
      </c>
    </row>
    <row r="13" spans="3:10" ht="22.5" customHeight="1" thickBot="1" x14ac:dyDescent="0.4">
      <c r="C13" s="271" t="s">
        <v>14</v>
      </c>
      <c r="D13" s="272">
        <f>Race!F42</f>
        <v>0</v>
      </c>
      <c r="E13" s="273">
        <f>COUNTIFS('Data Entry'!L3:L352,"Other",'Data Entry'!O3:O352,"Yes")</f>
        <v>0</v>
      </c>
      <c r="F13" s="273">
        <f>COUNTIFS('Data Entry'!L3:L352,"Other",'Data Entry'!O3:O352,"Yes",'Data Entry'!S3:S352,"Yes")</f>
        <v>0</v>
      </c>
      <c r="G13" s="275"/>
      <c r="H13" s="274" t="str">
        <f t="shared" si="0"/>
        <v>None</v>
      </c>
      <c r="I13" s="274" t="str">
        <f t="shared" si="1"/>
        <v>None</v>
      </c>
    </row>
    <row r="14" spans="3:10" ht="22.5" customHeight="1" thickTop="1" x14ac:dyDescent="0.35">
      <c r="C14" s="107" t="s">
        <v>13</v>
      </c>
      <c r="D14" s="50">
        <f>SUM(D7:D13)</f>
        <v>0</v>
      </c>
      <c r="E14" s="50">
        <f>SUM(E7:E13)</f>
        <v>0</v>
      </c>
      <c r="F14" s="55">
        <f>SUM(F7:F13)</f>
        <v>0</v>
      </c>
      <c r="G14" s="47"/>
      <c r="H14" s="268" t="str">
        <f t="shared" si="0"/>
        <v>None</v>
      </c>
      <c r="I14" s="268" t="str">
        <f t="shared" si="1"/>
        <v>None</v>
      </c>
    </row>
    <row r="15" spans="3:10" ht="18" customHeight="1" x14ac:dyDescent="0.35">
      <c r="F15" s="37"/>
    </row>
    <row r="16" spans="3:10" ht="18" customHeight="1" x14ac:dyDescent="0.35">
      <c r="F16" s="51"/>
      <c r="G16" s="39"/>
      <c r="H16" s="15"/>
      <c r="I16" s="15"/>
    </row>
    <row r="17" spans="3:17" ht="18" customHeight="1" x14ac:dyDescent="0.35">
      <c r="D17" s="395" t="s">
        <v>56</v>
      </c>
      <c r="E17" s="395"/>
      <c r="F17" s="395"/>
      <c r="H17" s="455" t="s">
        <v>114</v>
      </c>
      <c r="I17" s="455" t="s">
        <v>115</v>
      </c>
    </row>
    <row r="18" spans="3:17" ht="18" customHeight="1" thickBot="1" x14ac:dyDescent="0.4">
      <c r="C18" s="217" t="s">
        <v>6</v>
      </c>
      <c r="D18" s="48" t="s">
        <v>13</v>
      </c>
      <c r="E18" s="48" t="s">
        <v>45</v>
      </c>
      <c r="F18" s="48" t="s">
        <v>55</v>
      </c>
      <c r="G18" s="18"/>
      <c r="H18" s="456"/>
      <c r="I18" s="456"/>
    </row>
    <row r="19" spans="3:17" ht="22.5" customHeight="1" x14ac:dyDescent="0.35">
      <c r="C19" s="75" t="s">
        <v>107</v>
      </c>
      <c r="D19" s="76">
        <f>Ethnicity!F35</f>
        <v>0</v>
      </c>
      <c r="E19" s="63">
        <f>COUNTIFS('Data Entry'!N3:N352,"Hispanic or Latinx",'Data Entry'!O3:O352,"Yes")</f>
        <v>0</v>
      </c>
      <c r="F19" s="63">
        <f>COUNTIFS('Data Entry'!N3:N352,"Hispanic or Latinx",'Data Entry'!O3:O352,"Yes",'Data Entry'!S3:S352,"Yes")</f>
        <v>0</v>
      </c>
      <c r="G19" s="62"/>
      <c r="H19" s="269" t="str">
        <f t="shared" ref="H19:H21" si="4">IF(E19,E19/D19,"None")</f>
        <v>None</v>
      </c>
      <c r="I19" s="269" t="str">
        <f t="shared" ref="I19:I21" si="5">IF(F19,F19/E19,"None")</f>
        <v>None</v>
      </c>
    </row>
    <row r="20" spans="3:17" ht="22.5" customHeight="1" thickBot="1" x14ac:dyDescent="0.4">
      <c r="C20" s="77" t="s">
        <v>108</v>
      </c>
      <c r="D20" s="78">
        <f>Ethnicity!F36</f>
        <v>0</v>
      </c>
      <c r="E20" s="56">
        <f>COUNTIFS('Data Entry'!N3:N352,"Not Hispanic or LatinX",'Data Entry'!O3:O352,"Yes")</f>
        <v>0</v>
      </c>
      <c r="F20" s="56">
        <f>COUNTIFS('Data Entry'!N3:N352,"Not Hispanic or Latinx",'Data Entry'!O3:O352,"Yes",'Data Entry'!S3:S352,"Yes")</f>
        <v>0</v>
      </c>
      <c r="G20" s="64"/>
      <c r="H20" s="267" t="str">
        <f t="shared" si="4"/>
        <v>None</v>
      </c>
      <c r="I20" s="267" t="str">
        <f t="shared" si="5"/>
        <v>None</v>
      </c>
    </row>
    <row r="21" spans="3:17" s="26" customFormat="1" ht="22.5" customHeight="1" thickTop="1" x14ac:dyDescent="0.35">
      <c r="C21" s="47" t="s">
        <v>13</v>
      </c>
      <c r="D21" s="11">
        <f>SUM(D19:D20)</f>
        <v>0</v>
      </c>
      <c r="E21" s="50">
        <f>SUM(E19:E20)</f>
        <v>0</v>
      </c>
      <c r="F21" s="50">
        <f>SUM(F19:F20)</f>
        <v>0</v>
      </c>
      <c r="G21" s="47"/>
      <c r="H21" s="268" t="str">
        <f t="shared" si="4"/>
        <v>None</v>
      </c>
      <c r="I21" s="268" t="str">
        <f t="shared" si="5"/>
        <v>None</v>
      </c>
    </row>
    <row r="22" spans="3:17" ht="18" customHeight="1" x14ac:dyDescent="0.35">
      <c r="K22" s="39"/>
      <c r="L22" s="39"/>
      <c r="M22" s="39"/>
      <c r="N22" s="39"/>
      <c r="O22" s="39"/>
      <c r="P22" s="39"/>
      <c r="Q22" s="39"/>
    </row>
    <row r="23" spans="3:17" ht="18" customHeight="1" x14ac:dyDescent="0.35">
      <c r="K23" s="39"/>
      <c r="L23" s="39"/>
      <c r="M23" s="39"/>
      <c r="N23" s="39"/>
      <c r="O23" s="39"/>
      <c r="P23" s="39"/>
      <c r="Q23" s="39"/>
    </row>
    <row r="24" spans="3:17" ht="18" customHeight="1" x14ac:dyDescent="0.45">
      <c r="C24" s="192" t="s">
        <v>123</v>
      </c>
      <c r="F24" s="51"/>
      <c r="G24" s="39"/>
      <c r="H24" s="457"/>
      <c r="I24" s="457"/>
      <c r="K24" s="39"/>
      <c r="L24" s="39"/>
      <c r="M24" s="39"/>
      <c r="N24" s="39"/>
      <c r="O24" s="39"/>
      <c r="P24" s="39"/>
      <c r="Q24" s="39"/>
    </row>
    <row r="25" spans="3:17" ht="18" customHeight="1" x14ac:dyDescent="0.35">
      <c r="F25" s="51"/>
      <c r="G25" s="39"/>
      <c r="H25" s="15"/>
      <c r="I25" s="15"/>
      <c r="K25" s="39"/>
      <c r="L25" s="39"/>
      <c r="M25" s="39"/>
      <c r="N25" s="39"/>
      <c r="O25" s="39"/>
      <c r="P25" s="39"/>
      <c r="Q25" s="39"/>
    </row>
    <row r="26" spans="3:17" ht="18" customHeight="1" x14ac:dyDescent="0.35">
      <c r="D26" s="395" t="s">
        <v>56</v>
      </c>
      <c r="E26" s="395"/>
      <c r="F26" s="395"/>
      <c r="H26" s="455" t="s">
        <v>114</v>
      </c>
      <c r="I26" s="455" t="s">
        <v>115</v>
      </c>
      <c r="K26" s="39"/>
      <c r="L26" s="39"/>
      <c r="M26" s="39"/>
      <c r="N26" s="39"/>
      <c r="O26" s="39"/>
      <c r="P26" s="39"/>
      <c r="Q26" s="39"/>
    </row>
    <row r="27" spans="3:17" ht="16" thickBot="1" x14ac:dyDescent="0.4">
      <c r="C27" s="217" t="s">
        <v>3</v>
      </c>
      <c r="D27" s="48" t="s">
        <v>13</v>
      </c>
      <c r="E27" s="48" t="s">
        <v>45</v>
      </c>
      <c r="F27" s="48" t="s">
        <v>55</v>
      </c>
      <c r="G27" s="18"/>
      <c r="H27" s="456"/>
      <c r="I27" s="456"/>
    </row>
    <row r="28" spans="3:17" s="46" customFormat="1" ht="22.5" customHeight="1" x14ac:dyDescent="0.35">
      <c r="C28" s="70" t="s">
        <v>7</v>
      </c>
      <c r="D28" s="50">
        <f>Gender!F46</f>
        <v>0</v>
      </c>
      <c r="E28" s="49">
        <f>COUNTIFS('Data Entry'!H3:H352,"Male",'Data Entry'!O3:O352,"Yes")</f>
        <v>0</v>
      </c>
      <c r="F28" s="63">
        <f>COUNTIFS('Data Entry'!H3:H352,"Male",'Data Entry'!O3:O352,"Yes",'Data Entry'!S3:S352,"Yes")</f>
        <v>0</v>
      </c>
      <c r="H28" s="264" t="str">
        <f>IF(E28,E28/D28,"None")</f>
        <v>None</v>
      </c>
      <c r="I28" s="264" t="str">
        <f>IF(F28,F28/E28,"None")</f>
        <v>None</v>
      </c>
    </row>
    <row r="29" spans="3:17" s="46" customFormat="1" ht="22.5" customHeight="1" x14ac:dyDescent="0.35">
      <c r="C29" s="71" t="s">
        <v>8</v>
      </c>
      <c r="D29" s="67">
        <f>Gender!F47</f>
        <v>0</v>
      </c>
      <c r="E29" s="59">
        <f>COUNTIFS('Data Entry'!H3:H352,"Female",'Data Entry'!O3:O352,"Yes")</f>
        <v>0</v>
      </c>
      <c r="F29" s="59">
        <f>COUNTIFS('Data Entry'!H3:H352,"Female",'Data Entry'!O3:O352,"Yes",'Data Entry'!S3:S352,"Yes")</f>
        <v>0</v>
      </c>
      <c r="G29" s="58"/>
      <c r="H29" s="265" t="str">
        <f t="shared" ref="H29:H34" si="6">IF(E29,E29/D29,"None")</f>
        <v>None</v>
      </c>
      <c r="I29" s="265" t="str">
        <f t="shared" ref="I29:I33" si="7">IF(F29,F29/E29,"None")</f>
        <v>None</v>
      </c>
    </row>
    <row r="30" spans="3:17" s="46" customFormat="1" ht="22.5" customHeight="1" x14ac:dyDescent="0.35">
      <c r="C30" s="72" t="s">
        <v>48</v>
      </c>
      <c r="D30" s="68">
        <f>Gender!F50</f>
        <v>0</v>
      </c>
      <c r="E30" s="49">
        <f>COUNTIFS('Data Entry'!H3:H352,"Transgender Female",'Data Entry'!O3:O352,"Yes")</f>
        <v>0</v>
      </c>
      <c r="F30" s="61">
        <f>COUNTIFS('Data Entry'!H3:H352,"Transgender Female",'Data Entry'!O3:O352,"Yes",'Data Entry'!S3:S352,"Yes")</f>
        <v>0</v>
      </c>
      <c r="G30" s="60"/>
      <c r="H30" s="266" t="str">
        <f t="shared" si="6"/>
        <v>None</v>
      </c>
      <c r="I30" s="266" t="str">
        <f t="shared" si="7"/>
        <v>None</v>
      </c>
    </row>
    <row r="31" spans="3:17" s="46" customFormat="1" ht="22.5" customHeight="1" x14ac:dyDescent="0.35">
      <c r="C31" s="73" t="s">
        <v>47</v>
      </c>
      <c r="D31" s="74">
        <f>Gender!F51</f>
        <v>0</v>
      </c>
      <c r="E31" s="59">
        <f>COUNTIFS('Data Entry'!H3:H352,"Transgender Male",'Data Entry'!O3:O352,"Yes")</f>
        <v>0</v>
      </c>
      <c r="F31" s="59">
        <f>COUNTIFS('Data Entry'!H3:H352,"Transgender Male",'Data Entry'!O3:O352,"Yes",'Data Entry'!S3:S352,"Yes")</f>
        <v>0</v>
      </c>
      <c r="G31" s="54"/>
      <c r="H31" s="270" t="str">
        <f t="shared" si="6"/>
        <v>None</v>
      </c>
      <c r="I31" s="270" t="str">
        <f t="shared" si="7"/>
        <v>None</v>
      </c>
    </row>
    <row r="32" spans="3:17" s="46" customFormat="1" ht="22.5" customHeight="1" x14ac:dyDescent="0.35">
      <c r="C32" s="72" t="s">
        <v>49</v>
      </c>
      <c r="D32" s="68">
        <f>Gender!F52</f>
        <v>0</v>
      </c>
      <c r="E32" s="61">
        <f>COUNTIFS('Data Entry'!H3:H352,"Gender Fluid",'Data Entry'!O3:O352,"Yes")</f>
        <v>0</v>
      </c>
      <c r="F32" s="191">
        <f>COUNTIFS('Data Entry'!H3:H352,"Gender Fluid",'Data Entry'!O3:O352,"Yes",'Data Entry'!S3:S352,"Yes")</f>
        <v>0</v>
      </c>
      <c r="G32" s="60"/>
      <c r="H32" s="266" t="str">
        <f t="shared" si="6"/>
        <v>None</v>
      </c>
      <c r="I32" s="266" t="str">
        <f t="shared" si="7"/>
        <v>None</v>
      </c>
    </row>
    <row r="33" spans="3:9" s="46" customFormat="1" ht="22.5" customHeight="1" thickBot="1" x14ac:dyDescent="0.4">
      <c r="C33" s="189" t="s">
        <v>65</v>
      </c>
      <c r="D33" s="69">
        <f>Gender!F53</f>
        <v>0</v>
      </c>
      <c r="E33" s="56">
        <f>COUNTIFS('Data Entry'!H3:H352,"Agender",'Data Entry'!O3:O352,"Yes")</f>
        <v>0</v>
      </c>
      <c r="F33" s="56">
        <f>COUNTIFS('Data Entry'!H3:H352,"Agender",'Data Entry'!O3:O352,"Yes",'Data Entry'!S3:S352,"Yes")</f>
        <v>0</v>
      </c>
      <c r="G33" s="190"/>
      <c r="H33" s="267" t="str">
        <f t="shared" si="6"/>
        <v>None</v>
      </c>
      <c r="I33" s="267" t="str">
        <f t="shared" si="7"/>
        <v>None</v>
      </c>
    </row>
    <row r="34" spans="3:9" s="47" customFormat="1" ht="22.5" customHeight="1" thickTop="1" x14ac:dyDescent="0.35">
      <c r="C34" s="57" t="s">
        <v>13</v>
      </c>
      <c r="D34" s="50">
        <f>SUM(D28:D33)</f>
        <v>0</v>
      </c>
      <c r="E34" s="50">
        <f>SUM(E28:E33)</f>
        <v>0</v>
      </c>
      <c r="F34" s="50">
        <f>SUM(F28:F33)</f>
        <v>0</v>
      </c>
      <c r="H34" s="268" t="str">
        <f t="shared" si="6"/>
        <v>None</v>
      </c>
      <c r="I34" s="268" t="str">
        <f>IF(F34,F34/E34,"None")</f>
        <v>None</v>
      </c>
    </row>
    <row r="35" spans="3:9" s="47" customFormat="1" ht="22.5" customHeight="1" x14ac:dyDescent="0.35">
      <c r="C35" s="57"/>
      <c r="D35" s="50"/>
      <c r="E35" s="50"/>
      <c r="F35" s="50"/>
      <c r="H35" s="268"/>
      <c r="I35" s="268"/>
    </row>
    <row r="36" spans="3:9" s="47" customFormat="1" ht="22.5" customHeight="1" x14ac:dyDescent="0.35">
      <c r="C36" s="57"/>
      <c r="D36" s="395" t="s">
        <v>56</v>
      </c>
      <c r="E36" s="395"/>
      <c r="F36" s="395"/>
      <c r="G36"/>
      <c r="H36" s="455" t="s">
        <v>114</v>
      </c>
      <c r="I36" s="455" t="s">
        <v>115</v>
      </c>
    </row>
    <row r="37" spans="3:9" s="47" customFormat="1" ht="22.5" customHeight="1" thickBot="1" x14ac:dyDescent="0.4">
      <c r="C37" s="217" t="s">
        <v>164</v>
      </c>
      <c r="D37" s="337" t="s">
        <v>13</v>
      </c>
      <c r="E37" s="337" t="s">
        <v>45</v>
      </c>
      <c r="F37" s="337" t="s">
        <v>55</v>
      </c>
      <c r="G37" s="18"/>
      <c r="H37" s="456"/>
      <c r="I37" s="456"/>
    </row>
    <row r="38" spans="3:9" s="47" customFormat="1" ht="22.5" customHeight="1" x14ac:dyDescent="0.35">
      <c r="C38" s="342" t="s">
        <v>165</v>
      </c>
      <c r="D38" s="50">
        <f>'Data Entry'!J357</f>
        <v>0</v>
      </c>
      <c r="E38" s="49">
        <f>COUNTIFS('Data Entry'!I3:I352,"Straight or Heterosexual",'Data Entry'!O3:O352,"Yes")</f>
        <v>0</v>
      </c>
      <c r="F38" s="364">
        <f>COUNTIFS('Data Entry'!I3:I352,"Straight or Heterosexual",'Data Entry'!O3:O352,"Yes",'Data Entry'!S3:S352,"Yes")</f>
        <v>0</v>
      </c>
      <c r="H38" s="264" t="str">
        <f t="shared" ref="H38:I42" si="8">IF(E38,E38/D38,"None")</f>
        <v>None</v>
      </c>
      <c r="I38" s="264" t="str">
        <f t="shared" si="8"/>
        <v>None</v>
      </c>
    </row>
    <row r="39" spans="3:9" s="47" customFormat="1" ht="22.5" customHeight="1" x14ac:dyDescent="0.35">
      <c r="C39" s="336" t="s">
        <v>166</v>
      </c>
      <c r="D39" s="67">
        <f>'Data Entry'!J358</f>
        <v>0</v>
      </c>
      <c r="E39" s="366">
        <f>COUNTIFS('Data Entry'!I3:I352,"Bisexual",'Data Entry'!O3:O352,"Yes")</f>
        <v>0</v>
      </c>
      <c r="F39" s="366">
        <f>COUNTIFS('Data Entry'!I3:I352,"Bisexual",'Data Entry'!O3:O352,"Yes",'Data Entry'!S3:S352,"Yes")</f>
        <v>0</v>
      </c>
      <c r="G39" s="367"/>
      <c r="H39" s="265" t="str">
        <f t="shared" si="8"/>
        <v>None</v>
      </c>
      <c r="I39" s="265" t="str">
        <f t="shared" si="8"/>
        <v>None</v>
      </c>
    </row>
    <row r="40" spans="3:9" s="47" customFormat="1" ht="22.5" customHeight="1" x14ac:dyDescent="0.35">
      <c r="C40" s="344" t="s">
        <v>167</v>
      </c>
      <c r="D40" s="50">
        <f>'Data Entry'!J359</f>
        <v>0</v>
      </c>
      <c r="E40" s="364">
        <f>COUNTIFS('Data Entry'!I3:I352,"Gay or Lesbian",'Data Entry'!O3:O352,"Yes")</f>
        <v>0</v>
      </c>
      <c r="F40" s="364">
        <f>COUNTIFS('Data Entry'!I3:I352,"Gay or Lesbian",'Data Entry'!O3:O352,"Yes",'Data Entry'!S3:S352,"Yes")</f>
        <v>0</v>
      </c>
      <c r="H40" s="264" t="str">
        <f t="shared" si="8"/>
        <v>None</v>
      </c>
      <c r="I40" s="264" t="str">
        <f t="shared" si="8"/>
        <v>None</v>
      </c>
    </row>
    <row r="41" spans="3:9" s="46" customFormat="1" ht="22.5" customHeight="1" thickBot="1" x14ac:dyDescent="0.4">
      <c r="C41" s="153" t="s">
        <v>168</v>
      </c>
      <c r="D41" s="368">
        <f>'Data Entry'!J360</f>
        <v>0</v>
      </c>
      <c r="E41" s="66">
        <f>COUNTIFS('Data Entry'!I3:I352,"Unsure",'Data Entry'!O3:O352,"Yes")</f>
        <v>0</v>
      </c>
      <c r="F41" s="66">
        <f>COUNTIFS('Data Entry'!I3:I352,"Unsure",'Data Entry'!O3:O352,"Yes",'Data Entry'!S3:S352,"Yes")</f>
        <v>0</v>
      </c>
      <c r="G41" s="64"/>
      <c r="H41" s="369" t="str">
        <f t="shared" si="8"/>
        <v>None</v>
      </c>
      <c r="I41" s="369" t="str">
        <f t="shared" si="8"/>
        <v>None</v>
      </c>
    </row>
    <row r="42" spans="3:9" s="46" customFormat="1" ht="22.5" customHeight="1" thickTop="1" x14ac:dyDescent="0.35">
      <c r="C42" s="57" t="s">
        <v>13</v>
      </c>
      <c r="D42" s="55">
        <f>SUM(D38:D41)</f>
        <v>0</v>
      </c>
      <c r="E42" s="55">
        <f>SUM(E38:E41)</f>
        <v>0</v>
      </c>
      <c r="F42" s="55">
        <f>SUM(F38:F41)</f>
        <v>0</v>
      </c>
      <c r="G42" s="365"/>
      <c r="H42" s="268" t="str">
        <f t="shared" si="8"/>
        <v>None</v>
      </c>
      <c r="I42" s="268" t="str">
        <f t="shared" si="8"/>
        <v>None</v>
      </c>
    </row>
    <row r="43" spans="3:9" ht="18" customHeight="1" x14ac:dyDescent="0.35">
      <c r="F43" s="51"/>
      <c r="G43" s="39"/>
      <c r="H43" s="15"/>
      <c r="I43" s="15"/>
    </row>
    <row r="44" spans="3:9" ht="18" customHeight="1" x14ac:dyDescent="0.35">
      <c r="D44" s="395" t="s">
        <v>56</v>
      </c>
      <c r="E44" s="395"/>
      <c r="F44" s="395"/>
      <c r="H44" s="455" t="s">
        <v>114</v>
      </c>
      <c r="I44" s="455" t="s">
        <v>115</v>
      </c>
    </row>
    <row r="45" spans="3:9" ht="18" customHeight="1" thickBot="1" x14ac:dyDescent="0.4">
      <c r="C45" s="217" t="s">
        <v>83</v>
      </c>
      <c r="D45" s="48" t="s">
        <v>13</v>
      </c>
      <c r="E45" s="48" t="s">
        <v>45</v>
      </c>
      <c r="F45" s="48" t="s">
        <v>55</v>
      </c>
      <c r="G45" s="18"/>
      <c r="H45" s="456"/>
      <c r="I45" s="456"/>
    </row>
    <row r="46" spans="3:9" s="46" customFormat="1" ht="22.5" customHeight="1" x14ac:dyDescent="0.35">
      <c r="C46" s="57" t="s">
        <v>172</v>
      </c>
      <c r="D46" s="50">
        <f>'Age Groups'!C37</f>
        <v>0</v>
      </c>
      <c r="E46" s="49">
        <f>COUNTIFS('Data Entry'!AG3:AG352,1,'Data Entry'!O3:O352,"Yes")</f>
        <v>0</v>
      </c>
      <c r="F46" s="63">
        <f>COUNTIFS('Data Entry'!AG3:AG352,1,'Data Entry'!O3:O352,"Yes",'Data Entry'!S3:S352,"Yes")</f>
        <v>0</v>
      </c>
      <c r="H46" s="264" t="str">
        <f>IF(E46,E46/D46,"None")</f>
        <v>None</v>
      </c>
      <c r="I46" s="264" t="str">
        <f>IF(F46,F46/E46,"None")</f>
        <v>None</v>
      </c>
    </row>
    <row r="47" spans="3:9" s="46" customFormat="1" ht="22.5" customHeight="1" x14ac:dyDescent="0.35">
      <c r="C47" s="71" t="s">
        <v>93</v>
      </c>
      <c r="D47" s="67">
        <f>'Age Groups'!D37</f>
        <v>0</v>
      </c>
      <c r="E47" s="59">
        <f>COUNTIFS('Data Entry'!AG3:AG352,2,'Data Entry'!O3:O352,"Yes")</f>
        <v>0</v>
      </c>
      <c r="F47" s="59">
        <f>COUNTIFS('Data Entry'!AG3:AG352,2,'Data Entry'!O3:O352,"Yes",'Data Entry'!S3:S352,"Yes")</f>
        <v>0</v>
      </c>
      <c r="G47" s="58"/>
      <c r="H47" s="265" t="str">
        <f t="shared" ref="H47:H50" si="9">IF(E47,E47/D47,"None")</f>
        <v>None</v>
      </c>
      <c r="I47" s="265" t="str">
        <f t="shared" ref="I47:I49" si="10">IF(F47,F47/E47,"None")</f>
        <v>None</v>
      </c>
    </row>
    <row r="48" spans="3:9" s="46" customFormat="1" ht="22.5" customHeight="1" x14ac:dyDescent="0.35">
      <c r="C48" s="372" t="s">
        <v>94</v>
      </c>
      <c r="D48" s="68">
        <f>'Age Groups'!E37</f>
        <v>0</v>
      </c>
      <c r="E48" s="49">
        <f>COUNTIFS('Data Entry'!AG3:AG352,3,'Data Entry'!O3:O352,"Yes")</f>
        <v>0</v>
      </c>
      <c r="F48" s="61">
        <f>COUNTIFS('Data Entry'!AG3:AG352,3,'Data Entry'!O3:O352,"Yes",'Data Entry'!S3:S352,"Yes")</f>
        <v>0</v>
      </c>
      <c r="H48" s="266" t="str">
        <f t="shared" si="9"/>
        <v>None</v>
      </c>
      <c r="I48" s="266" t="str">
        <f t="shared" si="10"/>
        <v>None</v>
      </c>
    </row>
    <row r="49" spans="3:9" s="46" customFormat="1" ht="22.5" customHeight="1" thickBot="1" x14ac:dyDescent="0.4">
      <c r="C49" s="77" t="s">
        <v>173</v>
      </c>
      <c r="D49" s="69">
        <f>'Age Groups'!F37</f>
        <v>0</v>
      </c>
      <c r="E49" s="66">
        <f>COUNTIFS('Data Entry'!AG3:AG352,4,'Data Entry'!O3:O352,"Yes")</f>
        <v>0</v>
      </c>
      <c r="F49" s="56">
        <f>COUNTIFS('Data Entry'!AG3:AG352,4,'Data Entry'!O3:O352,"Yes",'Data Entry'!S3:S352,"Yes")</f>
        <v>0</v>
      </c>
      <c r="G49" s="64"/>
      <c r="H49" s="267" t="str">
        <f t="shared" si="9"/>
        <v>None</v>
      </c>
      <c r="I49" s="267" t="str">
        <f t="shared" si="10"/>
        <v>None</v>
      </c>
    </row>
    <row r="50" spans="3:9" ht="22.5" customHeight="1" thickTop="1" x14ac:dyDescent="0.35">
      <c r="C50" s="65" t="s">
        <v>13</v>
      </c>
      <c r="D50" s="38">
        <f>SUM(D46:D49)</f>
        <v>0</v>
      </c>
      <c r="E50" s="38">
        <f>SUM(E46:E49)</f>
        <v>0</v>
      </c>
      <c r="F50" s="38">
        <f>SUM(F46:F49)</f>
        <v>0</v>
      </c>
      <c r="H50" s="268" t="str">
        <f t="shared" si="9"/>
        <v>None</v>
      </c>
      <c r="I50" s="268" t="str">
        <f>IF(F50,F50/E50,"None")</f>
        <v>None</v>
      </c>
    </row>
    <row r="56" spans="3:9" x14ac:dyDescent="0.35">
      <c r="C56" s="164" t="s">
        <v>0</v>
      </c>
      <c r="D56" s="92" t="s">
        <v>19</v>
      </c>
      <c r="E56" s="85" t="s">
        <v>21</v>
      </c>
    </row>
    <row r="57" spans="3:9" x14ac:dyDescent="0.35">
      <c r="C57" s="165" t="s">
        <v>17</v>
      </c>
      <c r="D57" s="285">
        <f>COUNTIF('Data Entry'!O3:O352,"Yes")</f>
        <v>0</v>
      </c>
      <c r="E57" s="276" t="e">
        <f>D57/$D$59</f>
        <v>#DIV/0!</v>
      </c>
    </row>
    <row r="58" spans="3:9" ht="15" thickBot="1" x14ac:dyDescent="0.4">
      <c r="C58" s="166" t="s">
        <v>18</v>
      </c>
      <c r="D58" s="131">
        <f>COUNTIF('Data Entry'!O3:O352,"No")</f>
        <v>0</v>
      </c>
      <c r="E58" s="277" t="e">
        <f>D58/$D$59</f>
        <v>#DIV/0!</v>
      </c>
    </row>
    <row r="59" spans="3:9" ht="15" thickTop="1" x14ac:dyDescent="0.35">
      <c r="C59" s="167" t="s">
        <v>13</v>
      </c>
      <c r="D59" s="130">
        <f>SUM(D57:D58)</f>
        <v>0</v>
      </c>
      <c r="E59" s="228" t="e">
        <f>SUM(E57:E58)</f>
        <v>#DIV/0!</v>
      </c>
    </row>
    <row r="64" spans="3:9" x14ac:dyDescent="0.35">
      <c r="C64" s="173" t="s">
        <v>50</v>
      </c>
      <c r="D64" s="92" t="s">
        <v>19</v>
      </c>
      <c r="E64" s="93" t="s">
        <v>20</v>
      </c>
    </row>
    <row r="65" spans="3:5" x14ac:dyDescent="0.35">
      <c r="C65" s="175" t="s">
        <v>17</v>
      </c>
      <c r="D65" s="282">
        <f>COUNTIF('Data Entry'!S3:S352,"Yes")</f>
        <v>0</v>
      </c>
      <c r="E65" s="276" t="e">
        <f>D65/(D65+D66)</f>
        <v>#DIV/0!</v>
      </c>
    </row>
    <row r="66" spans="3:5" ht="15" thickBot="1" x14ac:dyDescent="0.4">
      <c r="C66" s="175" t="s">
        <v>18</v>
      </c>
      <c r="D66" s="282">
        <f>COUNTIF('Data Entry'!S3:S352,"No")</f>
        <v>0</v>
      </c>
      <c r="E66" s="277" t="e">
        <f>D66/(D65+D66)</f>
        <v>#DIV/0!</v>
      </c>
    </row>
    <row r="67" spans="3:5" ht="15.5" thickTop="1" thickBot="1" x14ac:dyDescent="0.4">
      <c r="C67" s="176" t="s">
        <v>23</v>
      </c>
      <c r="D67" s="283">
        <f>COUNTIF('Data Entry'!S3:S352,"n/a")</f>
        <v>0</v>
      </c>
      <c r="E67" s="228" t="e">
        <f>SUM(E65:E66)</f>
        <v>#DIV/0!</v>
      </c>
    </row>
    <row r="68" spans="3:5" ht="15" thickTop="1" x14ac:dyDescent="0.35">
      <c r="C68" s="174" t="s">
        <v>13</v>
      </c>
      <c r="D68" s="284">
        <f>SUM(D65:D67)</f>
        <v>0</v>
      </c>
      <c r="E68" s="12"/>
    </row>
  </sheetData>
  <sheetProtection selectLockedCells="1"/>
  <mergeCells count="17">
    <mergeCell ref="H44:H45"/>
    <mergeCell ref="I44:I45"/>
    <mergeCell ref="D36:F36"/>
    <mergeCell ref="H36:H37"/>
    <mergeCell ref="I36:I37"/>
    <mergeCell ref="H4:I4"/>
    <mergeCell ref="D44:F44"/>
    <mergeCell ref="D5:F5"/>
    <mergeCell ref="D17:F17"/>
    <mergeCell ref="H24:I24"/>
    <mergeCell ref="D26:F26"/>
    <mergeCell ref="H5:H6"/>
    <mergeCell ref="I5:I6"/>
    <mergeCell ref="H17:H18"/>
    <mergeCell ref="I17:I18"/>
    <mergeCell ref="H26:H27"/>
    <mergeCell ref="I26:I27"/>
  </mergeCells>
  <printOptions horizontalCentered="1"/>
  <pageMargins left="0.2" right="0.2" top="0.6" bottom="0.25" header="0.3" footer="0.3"/>
  <pageSetup scale="77" fitToHeight="2" orientation="landscape" r:id="rId1"/>
  <headerFooter>
    <oddHeader>&amp;C&amp;"-,Bold"&amp;14Admission and Graduation Rates</oddHeader>
  </headerFooter>
  <rowBreaks count="1" manualBreakCount="1">
    <brk id="22" min="1" max="16"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7</vt:i4>
      </vt:variant>
    </vt:vector>
  </HeadingPairs>
  <TitlesOfParts>
    <vt:vector size="14" baseType="lpstr">
      <vt:lpstr>Data Entry</vt:lpstr>
      <vt:lpstr>Age Groups</vt:lpstr>
      <vt:lpstr>Gender</vt:lpstr>
      <vt:lpstr>Race</vt:lpstr>
      <vt:lpstr>Ethnicity</vt:lpstr>
      <vt:lpstr>Race and Ethnicity</vt:lpstr>
      <vt:lpstr>Admin and Grad Rates</vt:lpstr>
      <vt:lpstr>'Admin and Grad Rates'!Print_Area</vt:lpstr>
      <vt:lpstr>'Age Groups'!Print_Area</vt:lpstr>
      <vt:lpstr>'Data Entry'!Print_Area</vt:lpstr>
      <vt:lpstr>Ethnicity!Print_Area</vt:lpstr>
      <vt:lpstr>Gender!Print_Area</vt:lpstr>
      <vt:lpstr>Race!Print_Area</vt:lpstr>
      <vt:lpstr>'Race and Ethnicity'!Print_Area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Equity and inclusion assessment tool</dc:title>
  <dc:creator>Cheesman, Fred</dc:creator>
  <cp:lastModifiedBy>Jennifer Seubert</cp:lastModifiedBy>
  <cp:lastPrinted>2018-11-30T12:57:41Z</cp:lastPrinted>
  <dcterms:created xsi:type="dcterms:W3CDTF">2018-02-20T15:26:32Z</dcterms:created>
  <dcterms:modified xsi:type="dcterms:W3CDTF">2021-10-13T15:00:30Z</dcterms:modified>
</cp:coreProperties>
</file>